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06_doch_I_pólrocze" sheetId="1" r:id="rId1"/>
    <sheet name="2006_wyd_I_półrocze" sheetId="2" r:id="rId2"/>
  </sheets>
  <externalReferences>
    <externalReference r:id="rId5"/>
  </externalReferences>
  <definedNames>
    <definedName name="CRITERIA">'[1]Arkusz3'!#REF!</definedName>
    <definedName name="_xlnm.Print_Area" localSheetId="0">'2006_doch_I_pólrocze'!$A$1:$P$107</definedName>
    <definedName name="_xlnm.Print_Area" localSheetId="1">'2006_wyd_I_półrocze'!$A$1:$P$355</definedName>
  </definedNames>
  <calcPr fullCalcOnLoad="1"/>
</workbook>
</file>

<file path=xl/sharedStrings.xml><?xml version="1.0" encoding="utf-8"?>
<sst xmlns="http://schemas.openxmlformats.org/spreadsheetml/2006/main" count="497" uniqueCount="162">
  <si>
    <t>Dz.</t>
  </si>
  <si>
    <t>Rozdz.</t>
  </si>
  <si>
    <t>§</t>
  </si>
  <si>
    <t>Wyszczególnienie</t>
  </si>
  <si>
    <t>Pozostała działalność</t>
  </si>
  <si>
    <t>Gospodarka mieszkaniowa</t>
  </si>
  <si>
    <t>Wpływy z usług</t>
  </si>
  <si>
    <t>Dodatki mieszkaniowe</t>
  </si>
  <si>
    <t>Podatek rolny</t>
  </si>
  <si>
    <t>Podatek leśny</t>
  </si>
  <si>
    <t>Podatek od nieruchomości</t>
  </si>
  <si>
    <t>Podatek od posiadania psów</t>
  </si>
  <si>
    <t>Wpływy z opłaty skarbowej</t>
  </si>
  <si>
    <t>Urzędy wojewódzkie</t>
  </si>
  <si>
    <t>Różne rozliczenia</t>
  </si>
  <si>
    <t>OGÓŁEM DOCHODY</t>
  </si>
  <si>
    <t>Ochrona zdrowia</t>
  </si>
  <si>
    <t>Gospodarka gruntami i nieruchomościami</t>
  </si>
  <si>
    <t>Drogi publiczne powiatowe</t>
  </si>
  <si>
    <t>Leśnictwo</t>
  </si>
  <si>
    <t>Rolnictwo i łowiectwo</t>
  </si>
  <si>
    <t>Wpływy z różnych opłat</t>
  </si>
  <si>
    <t>Transport i łączność</t>
  </si>
  <si>
    <t>Turystyka</t>
  </si>
  <si>
    <t>Pozostałe odsetki</t>
  </si>
  <si>
    <t>Administracja publiczna</t>
  </si>
  <si>
    <t>Urzędy gmin (miast i miast na pr. powiatu)</t>
  </si>
  <si>
    <t>Podatek od czynności cywilnoprawnych</t>
  </si>
  <si>
    <t>Podatek od spadków i darowizn</t>
  </si>
  <si>
    <t>Wpływy z opłaty targowej</t>
  </si>
  <si>
    <t>Ośrodki pomocy społecznej</t>
  </si>
  <si>
    <t>Oświetlenie ulic, placów i dróg</t>
  </si>
  <si>
    <t>Wpływy z opłaty eksploatacyjnej</t>
  </si>
  <si>
    <t>Drogi publiczne gminne</t>
  </si>
  <si>
    <t>Działalność usługowa</t>
  </si>
  <si>
    <t>Cmentarze</t>
  </si>
  <si>
    <t>Różne rozliczenia finansowe</t>
  </si>
  <si>
    <t>Oświata i wychowanie</t>
  </si>
  <si>
    <t>Szkoły podstawowe</t>
  </si>
  <si>
    <t>Gimnazja</t>
  </si>
  <si>
    <t>Wpływy z różnych dochodów</t>
  </si>
  <si>
    <t>Edukacyjna opieka wychowawcza</t>
  </si>
  <si>
    <t>Izby rolnicze</t>
  </si>
  <si>
    <t>Zakup materiałów i wyposażenia</t>
  </si>
  <si>
    <t>Zakup usług remontowych</t>
  </si>
  <si>
    <t>Zakup usług pozostałych</t>
  </si>
  <si>
    <t>OGÓŁEM</t>
  </si>
  <si>
    <t>Wynagrodzenia osobowe pracowników</t>
  </si>
  <si>
    <t>Dodatkowe wynagrodzenie roczne</t>
  </si>
  <si>
    <t>Składki na ubezpieczenia społeczne</t>
  </si>
  <si>
    <t>Składki na Fundusz Pracy</t>
  </si>
  <si>
    <t>Wpłaty na PFRON</t>
  </si>
  <si>
    <t>Zakup energii</t>
  </si>
  <si>
    <t>Różne opłaty i składki</t>
  </si>
  <si>
    <t>Plany zagospodarowania przestrzennego</t>
  </si>
  <si>
    <t>Podróże służbowe krajowe</t>
  </si>
  <si>
    <t>Rady gmin (miast i miast na prawach powiatu)</t>
  </si>
  <si>
    <t>Różne wydatki na rzecz osób fizycznych</t>
  </si>
  <si>
    <t>Podróże służbowe zagraniczne</t>
  </si>
  <si>
    <t>Urzędy gmin (miast i miast na prawach powiatu)</t>
  </si>
  <si>
    <t>Wynagrodzenia agencyjno-prowizyjne</t>
  </si>
  <si>
    <t>Ochotnicze straże pożarne</t>
  </si>
  <si>
    <t>Obsługa długu publicznego</t>
  </si>
  <si>
    <t>Dowożenie uczniów do szkół</t>
  </si>
  <si>
    <t>Licea ogólnokształcące</t>
  </si>
  <si>
    <t>Dokształcanie i doskonalenie nauczycieli</t>
  </si>
  <si>
    <t>Przeciwdziałanie alkoholizmowi</t>
  </si>
  <si>
    <t>Świadczenia społeczne</t>
  </si>
  <si>
    <t>Świetlice szkolne</t>
  </si>
  <si>
    <t>Gosodarka komunalna i ochrona środowiska</t>
  </si>
  <si>
    <t>Oczyszczanie miast i wsi</t>
  </si>
  <si>
    <t>Utrzymanie zieleni w miastach i gminach</t>
  </si>
  <si>
    <t>Schroniska dla zwierząt</t>
  </si>
  <si>
    <t>Wydatki inwestycyjne jednostek budżetowych</t>
  </si>
  <si>
    <t>Biblioteki</t>
  </si>
  <si>
    <t>Kultura fizyczna i sport</t>
  </si>
  <si>
    <t xml:space="preserve">                                                               OGÓŁEM WYDATKI</t>
  </si>
  <si>
    <t>Przedszkola</t>
  </si>
  <si>
    <t>Wykonanie</t>
  </si>
  <si>
    <t>Kultura i ochrona dziedzictwa narodowego</t>
  </si>
  <si>
    <t>Pomoc materialna dla uczniów</t>
  </si>
  <si>
    <t>Plan</t>
  </si>
  <si>
    <t>Wsk.</t>
  </si>
  <si>
    <t xml:space="preserve">           ZADANIA WŁASNE</t>
  </si>
  <si>
    <t xml:space="preserve">           ZADANIA ZLECONE</t>
  </si>
  <si>
    <t>Plan           (rubr.8+11+14)</t>
  </si>
  <si>
    <t>Wykonanie (rubr.9+12+15)</t>
  </si>
  <si>
    <t>ZADANIA POWIERZONE</t>
  </si>
  <si>
    <t xml:space="preserve">Wykonanie </t>
  </si>
  <si>
    <t xml:space="preserve">            zad.wł.+z.powierz.</t>
  </si>
  <si>
    <t xml:space="preserve">                      Budżet</t>
  </si>
  <si>
    <t>Pozostłe odsetki</t>
  </si>
  <si>
    <t>Pomoc społeczna</t>
  </si>
  <si>
    <t>Składki na ubezpieczenia zdrowotne</t>
  </si>
  <si>
    <t>Wynagrodzenia bezosobowe</t>
  </si>
  <si>
    <t>Promocja jednostek samorządu terytorialnego</t>
  </si>
  <si>
    <t>Stypendia dla uczniów</t>
  </si>
  <si>
    <t>Oddziały przedszkolne w szkołach podstawowych</t>
  </si>
  <si>
    <t>Zakup usług zdrowotnych</t>
  </si>
  <si>
    <t>Zakup leków i materiałów medycznych</t>
  </si>
  <si>
    <t>Część równoważąca subwencji ogólnej dla gmin</t>
  </si>
  <si>
    <t>Zakup usług dostępu do sieci Internet</t>
  </si>
  <si>
    <t>Dotacje celowe otrzymane z budżetu państwa na realizację zadań bieżących z zakresu administracji rządowej oraz innych zadań zleconych gminie ustawami</t>
  </si>
  <si>
    <t>Dotacje celowe otrzymane z budżetu państwa na realizację własnych zadań bieżących gmin</t>
  </si>
  <si>
    <t>Gospodarka komunalna i ochrona środowiska</t>
  </si>
  <si>
    <t>Komendy powiatowe Policji</t>
  </si>
  <si>
    <t>Wydatki na zakupy inwestycyjne jednostek budżetowych</t>
  </si>
  <si>
    <t>Wpływy z tytułu przekształcenia prawa użytkowania wieczystego przysługującego osobom fizycznym w prawo własności</t>
  </si>
  <si>
    <t>Dochody z najmu i dzierżawy składników majątku Skarbu Państwa, j.s.t. lub innych jednostek zaliczanych do sektora finansów publicznych oraz innych umów o podobnym charakterze</t>
  </si>
  <si>
    <t>Dochody jednostek samorządu terytorialnego związane z realizacją  zadań z zakresu administracji rządowej oraz innych zadań zleconych ustawami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</si>
  <si>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</si>
  <si>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</si>
  <si>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</si>
  <si>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</si>
  <si>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 xml:space="preserve">Podatek od działalności gospodarczej osób fizycznych, opłacany w formie karty podatkowej 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</si>
  <si>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</si>
  <si>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</si>
  <si>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Podatek od środków transportowych</t>
  </si>
  <si>
    <t>Wpływy z innych opłat stanowiących dochody jst na podstawie ustaw</t>
  </si>
  <si>
    <t>Udziały gmin w podatkach stanowiacych dochód budżetu państwa</t>
  </si>
  <si>
    <t>Część oświatowa subwencji ogólnej dla jednostek samorządu terytorialnego</t>
  </si>
  <si>
    <t>Subwencje ogólne z budżetu państwa</t>
  </si>
  <si>
    <t>Część wyrównawcza subwencji ogólnnej dla gmin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</si>
  <si>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</si>
  <si>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</si>
  <si>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</si>
  <si>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Dotacje otrzymane od samorządu województwa na zadania bieżące realizowane na podstawie porozumień (umów) między j.s.t.</t>
  </si>
  <si>
    <t>Wpłaty gmin na rzecz izb rolniczych w wyskości 2% uzyskanych wpływów z podatku rolnego</t>
  </si>
  <si>
    <t>Wydatki osobowe niezaliczone do wynagrodzeń</t>
  </si>
  <si>
    <t>Odpisy na ZFŚS</t>
  </si>
  <si>
    <t xml:space="preserve">Urzędy naczelnych organów władzy państwowej, kontroli i ochrony prawa </t>
  </si>
  <si>
    <t>Bezpieczeństwo publiczne i ochrona przeciwpożarowa</t>
  </si>
  <si>
    <t>Pobór podatków, opłat i niepodatkowych należności budżetowych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</si>
  <si>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</si>
  <si>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</si>
  <si>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Zakup pomocy naukowych, dydaktycznych i książek</t>
  </si>
  <si>
    <t>Zespoły obsługi ekonomiczno-administracyjne szkół</t>
  </si>
  <si>
    <t>Dotacja celowa z budżetu na finansowanie lub dofinansowanie zadań zleconych do realizacji stowarzyszeniom</t>
  </si>
  <si>
    <t>Składki na ubezpieczenia zdrowotne opłacane za osoby pobierające niektóre świadczenia z pomocy społecznej oraz niektóre świadczenia rodzinne</t>
  </si>
  <si>
    <t>Dotacja podmiotowa z budżetu dla samorządowej instytucji kultury</t>
  </si>
  <si>
    <t>Wpływy z podatku rolnego, podatku leśnego, podatku od spadków i darowizn, podatku od czynności cywilnoprawnych oraz podatków i opłat lokalnych od osób fizycznych</t>
  </si>
  <si>
    <t>Dotacje celowe otrzymane z powiatu na zadania bieżące realizowane na podstawie porozumień (umów) między jednostkami samorządu terytorialnego</t>
  </si>
  <si>
    <t>Wpłaty z tytułu odpłatnego nabycia prawa własności oraz prawa użytkowania wieczystego nieruchomości</t>
  </si>
  <si>
    <t>Wydatki inwestycycjne jednostek budżetowych</t>
  </si>
  <si>
    <t>Opracowania geodezyjne i kartograficzne</t>
  </si>
  <si>
    <t>Wybory do rad gmin, rad powiatów i sejmików województw, wybory wójtów, burmistrzów i prezydentów miast oraz referenda gminne, powiatowe i wojewódzkie</t>
  </si>
  <si>
    <t>Dotacje celowe przekazane dla powiatu na inwestycje i zakupy inwestycyjne realizowane na podstawie porozumień (umów) między jst</t>
  </si>
  <si>
    <t>Obrona cywilna</t>
  </si>
  <si>
    <t>Zwalczanie narkomanii</t>
  </si>
  <si>
    <t>Pozostałe zadania w zakresie polityki społecznej</t>
  </si>
  <si>
    <t>Pomoc dla repatriantów</t>
  </si>
  <si>
    <t>Gospodarka odpadami</t>
  </si>
  <si>
    <t>Gospodarstwa pomocnicze</t>
  </si>
  <si>
    <t>Wpływy do budżetu części zysku gospodarstwa pomocniczego</t>
  </si>
  <si>
    <t>Podatek dochodowy od osób fizycznych</t>
  </si>
  <si>
    <t>Podatek dochodowy od osób prawnych</t>
  </si>
  <si>
    <t>własne+powierz</t>
  </si>
  <si>
    <t>Wpływy z opłat za zarząd, użytkowanie i użytkowanie wieczyste nieruchomości</t>
  </si>
  <si>
    <t>Dochody z najmu i dzierżawy składników majątkowych Skarbu Państwa, j.s.t. lub innych jednostek zaliczanych do sektora finansów publicznych oraz innych umów o podobnym charakterze</t>
  </si>
  <si>
    <t>Wybory do rad gmin, rad powiatu i sejmików województw, wybory wójtów, burmistrzów i prezydentów miast oraz referenda gminne, powiatowe i wojewódzkie</t>
  </si>
  <si>
    <t>Wpływy z opłat za wydanie zezwoleń na sprzeadż alkoholu</t>
  </si>
  <si>
    <t>Dotacje celowe otrzymane z gminy na inwestycje i zakupy inwestycyjne realizowane na podstawie porozumień (umów) między j.s.t.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</si>
</sst>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dashDotDot"/>
      <bottom/>
    </border>
    <border>
      <left style="dotted"/>
      <right style="thin"/>
      <top style="dashDotDot"/>
      <bottom/>
    </border>
    <border>
      <left style="thin"/>
      <right style="thin"/>
      <top style="thick"/>
      <bottom style="thick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otted"/>
      <right/>
      <top style="dashDotDot"/>
      <bottom/>
    </border>
    <border>
      <left style="thin"/>
      <right style="thin"/>
      <top style="double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dotted"/>
      <right/>
      <top style="double"/>
      <bottom/>
    </border>
    <border>
      <left/>
      <right style="thin"/>
      <top style="medium"/>
      <bottom style="medium"/>
    </border>
    <border>
      <left style="dotted"/>
      <right style="thin"/>
      <top style="medium"/>
      <bottom style="medium"/>
    </border>
    <border>
      <left/>
      <right/>
      <top style="medium"/>
      <bottom style="medium"/>
    </border>
    <border>
      <left style="dotted"/>
      <right style="thin"/>
      <top/>
      <bottom style="double"/>
    </border>
    <border>
      <left/>
      <right/>
      <top/>
      <bottom style="medium"/>
    </border>
    <border>
      <left style="thin"/>
      <right style="medium"/>
      <top style="dashDotDot"/>
      <bottom/>
    </border>
    <border>
      <left style="thin"/>
      <right/>
      <top style="dashDotDot"/>
      <bottom/>
    </border>
    <border>
      <left/>
      <right/>
      <top style="dashed"/>
      <bottom/>
    </border>
    <border>
      <left style="thin"/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dotted"/>
      <top/>
      <bottom/>
    </border>
    <border>
      <left style="thin"/>
      <right style="dotted"/>
      <top style="dashDotDot"/>
      <bottom/>
    </border>
    <border>
      <left style="thin"/>
      <right style="medium"/>
      <top/>
      <bottom/>
    </border>
    <border>
      <left style="thin"/>
      <right style="dotted"/>
      <top style="thick"/>
      <bottom style="thick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tted"/>
      <right style="thin"/>
      <top style="medium"/>
      <bottom/>
    </border>
    <border>
      <left style="dotted"/>
      <right style="thin"/>
      <top style="medium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dotted"/>
      <right style="thin"/>
      <top style="thin"/>
      <bottom style="double"/>
    </border>
    <border>
      <left style="thin"/>
      <right style="medium"/>
      <top/>
      <bottom style="medium"/>
    </border>
    <border>
      <left style="dotted"/>
      <right/>
      <top style="double"/>
      <bottom style="medium"/>
    </border>
    <border>
      <left/>
      <right/>
      <top style="double"/>
      <bottom style="medium"/>
    </border>
    <border>
      <left/>
      <right/>
      <top style="dashDotDot"/>
      <bottom/>
    </border>
    <border>
      <left style="thin"/>
      <right style="dashed"/>
      <top style="medium"/>
      <bottom style="medium"/>
    </border>
    <border>
      <left/>
      <right style="thin"/>
      <top/>
      <bottom/>
    </border>
    <border>
      <left style="thin"/>
      <right style="dotted"/>
      <top/>
      <bottom style="medium"/>
    </border>
    <border>
      <left style="thin"/>
      <right style="thin"/>
      <top/>
      <bottom style="dashDotDot"/>
    </border>
    <border>
      <left style="thin"/>
      <right style="dotted"/>
      <top style="medium"/>
      <bottom/>
    </border>
    <border>
      <left style="thin"/>
      <right style="dotted"/>
      <top/>
      <bottom style="dashDotDot"/>
    </border>
    <border>
      <left/>
      <right style="thin"/>
      <top/>
      <bottom style="medium"/>
    </border>
    <border>
      <left/>
      <right style="thin"/>
      <top style="dashDotDot"/>
      <bottom/>
    </border>
    <border>
      <left style="dotted"/>
      <right/>
      <top/>
      <bottom/>
    </border>
    <border>
      <left style="dotted"/>
      <right/>
      <top style="medium"/>
      <bottom style="medium"/>
    </border>
    <border>
      <left style="dotted"/>
      <right style="thin"/>
      <top/>
      <bottom/>
    </border>
    <border>
      <left style="thin"/>
      <right style="medium"/>
      <top/>
      <bottom style="dashDotDot"/>
    </border>
    <border>
      <left style="medium"/>
      <right style="thin"/>
      <top/>
      <bottom/>
    </border>
    <border>
      <left style="medium"/>
      <right style="thin"/>
      <top/>
      <bottom style="dashDotDot"/>
    </border>
    <border>
      <left/>
      <right style="thin"/>
      <top style="thick"/>
      <bottom style="thick"/>
    </border>
    <border>
      <left style="dotted"/>
      <right style="thin"/>
      <top style="thick"/>
      <bottom style="thick"/>
    </border>
    <border>
      <left/>
      <right style="medium"/>
      <top style="double"/>
      <bottom/>
    </border>
    <border>
      <left style="thin"/>
      <right style="medium"/>
      <top/>
      <bottom style="double"/>
    </border>
    <border>
      <left style="thin"/>
      <right style="medium"/>
      <top style="thick"/>
      <bottom style="thick"/>
    </border>
    <border>
      <left/>
      <right style="thin"/>
      <top style="double"/>
      <bottom style="medium"/>
    </border>
    <border>
      <left style="thin"/>
      <right style="thin"/>
      <top style="double"/>
      <bottom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double"/>
      <bottom style="medium"/>
    </border>
    <border>
      <left/>
      <right style="dotted"/>
      <top style="double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3" fontId="2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9" fontId="4" fillId="0" borderId="12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27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9" fontId="2" fillId="0" borderId="23" xfId="0" applyNumberFormat="1" applyFont="1" applyBorder="1" applyAlignment="1">
      <alignment horizontal="center"/>
    </xf>
    <xf numFmtId="9" fontId="2" fillId="0" borderId="23" xfId="0" applyNumberFormat="1" applyFont="1" applyBorder="1" applyAlignment="1">
      <alignment horizontal="right"/>
    </xf>
    <xf numFmtId="9" fontId="4" fillId="0" borderId="2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9" fontId="4" fillId="0" borderId="17" xfId="0" applyNumberFormat="1" applyFont="1" applyBorder="1" applyAlignment="1">
      <alignment horizontal="center"/>
    </xf>
    <xf numFmtId="9" fontId="2" fillId="0" borderId="34" xfId="0" applyNumberFormat="1" applyFont="1" applyBorder="1" applyAlignment="1">
      <alignment horizontal="center"/>
    </xf>
    <xf numFmtId="9" fontId="2" fillId="0" borderId="35" xfId="0" applyNumberFormat="1" applyFont="1" applyBorder="1" applyAlignment="1">
      <alignment horizontal="center"/>
    </xf>
    <xf numFmtId="9" fontId="4" fillId="0" borderId="22" xfId="0" applyNumberFormat="1" applyFont="1" applyBorder="1" applyAlignment="1">
      <alignment horizontal="right"/>
    </xf>
    <xf numFmtId="9" fontId="4" fillId="0" borderId="14" xfId="0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9" fontId="4" fillId="0" borderId="37" xfId="52" applyFont="1" applyBorder="1" applyAlignment="1">
      <alignment horizontal="center"/>
    </xf>
    <xf numFmtId="9" fontId="4" fillId="0" borderId="38" xfId="0" applyNumberFormat="1" applyFont="1" applyBorder="1" applyAlignment="1">
      <alignment horizontal="center"/>
    </xf>
    <xf numFmtId="9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9" fontId="4" fillId="0" borderId="23" xfId="0" applyNumberFormat="1" applyFont="1" applyBorder="1" applyAlignment="1">
      <alignment horizontal="right"/>
    </xf>
    <xf numFmtId="9" fontId="2" fillId="0" borderId="38" xfId="0" applyNumberFormat="1" applyFont="1" applyBorder="1" applyAlignment="1">
      <alignment horizontal="right"/>
    </xf>
    <xf numFmtId="9" fontId="2" fillId="0" borderId="35" xfId="0" applyNumberFormat="1" applyFont="1" applyBorder="1" applyAlignment="1">
      <alignment horizontal="right"/>
    </xf>
    <xf numFmtId="9" fontId="2" fillId="0" borderId="15" xfId="0" applyNumberFormat="1" applyFont="1" applyBorder="1" applyAlignment="1">
      <alignment horizontal="right"/>
    </xf>
    <xf numFmtId="9" fontId="2" fillId="0" borderId="40" xfId="0" applyNumberFormat="1" applyFont="1" applyBorder="1" applyAlignment="1">
      <alignment horizontal="center"/>
    </xf>
    <xf numFmtId="0" fontId="8" fillId="0" borderId="0" xfId="0" applyFont="1" applyAlignment="1">
      <alignment/>
    </xf>
    <xf numFmtId="9" fontId="2" fillId="0" borderId="34" xfId="52" applyFont="1" applyBorder="1" applyAlignment="1">
      <alignment horizontal="center"/>
    </xf>
    <xf numFmtId="9" fontId="2" fillId="0" borderId="41" xfId="52" applyFont="1" applyBorder="1" applyAlignment="1">
      <alignment horizontal="right"/>
    </xf>
    <xf numFmtId="9" fontId="4" fillId="0" borderId="4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9" fontId="4" fillId="0" borderId="51" xfId="52" applyFont="1" applyBorder="1" applyAlignment="1">
      <alignment horizontal="center"/>
    </xf>
    <xf numFmtId="9" fontId="2" fillId="0" borderId="41" xfId="52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9" fontId="4" fillId="0" borderId="53" xfId="52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52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9" fontId="2" fillId="0" borderId="0" xfId="52" applyFont="1" applyBorder="1" applyAlignment="1">
      <alignment horizontal="right"/>
    </xf>
    <xf numFmtId="9" fontId="2" fillId="0" borderId="54" xfId="52" applyFont="1" applyBorder="1" applyAlignment="1">
      <alignment horizontal="center"/>
    </xf>
    <xf numFmtId="9" fontId="2" fillId="0" borderId="0" xfId="52" applyFont="1" applyAlignment="1">
      <alignment/>
    </xf>
    <xf numFmtId="9" fontId="2" fillId="0" borderId="0" xfId="0" applyNumberFormat="1" applyFont="1" applyAlignment="1">
      <alignment/>
    </xf>
    <xf numFmtId="9" fontId="4" fillId="0" borderId="31" xfId="52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54" xfId="52" applyFont="1" applyBorder="1" applyAlignment="1">
      <alignment/>
    </xf>
    <xf numFmtId="9" fontId="2" fillId="0" borderId="15" xfId="0" applyNumberFormat="1" applyFont="1" applyBorder="1" applyAlignment="1">
      <alignment/>
    </xf>
    <xf numFmtId="9" fontId="2" fillId="0" borderId="31" xfId="52" applyFont="1" applyBorder="1" applyAlignment="1">
      <alignment/>
    </xf>
    <xf numFmtId="9" fontId="2" fillId="0" borderId="14" xfId="0" applyNumberFormat="1" applyFont="1" applyBorder="1" applyAlignment="1">
      <alignment/>
    </xf>
    <xf numFmtId="9" fontId="2" fillId="0" borderId="0" xfId="52" applyFont="1" applyAlignment="1">
      <alignment horizontal="center"/>
    </xf>
    <xf numFmtId="9" fontId="2" fillId="0" borderId="0" xfId="52" applyFont="1" applyAlignment="1">
      <alignment horizontal="right"/>
    </xf>
    <xf numFmtId="9" fontId="2" fillId="0" borderId="54" xfId="0" applyNumberFormat="1" applyFont="1" applyBorder="1" applyAlignment="1">
      <alignment horizontal="center"/>
    </xf>
    <xf numFmtId="9" fontId="2" fillId="0" borderId="39" xfId="52" applyFont="1" applyBorder="1" applyAlignment="1">
      <alignment horizontal="right"/>
    </xf>
    <xf numFmtId="9" fontId="2" fillId="0" borderId="40" xfId="52" applyFont="1" applyBorder="1" applyAlignment="1">
      <alignment horizontal="center"/>
    </xf>
    <xf numFmtId="9" fontId="4" fillId="0" borderId="31" xfId="52" applyFont="1" applyBorder="1" applyAlignment="1">
      <alignment/>
    </xf>
    <xf numFmtId="9" fontId="2" fillId="0" borderId="31" xfId="52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9" fontId="2" fillId="0" borderId="0" xfId="52" applyFont="1" applyBorder="1" applyAlignment="1">
      <alignment/>
    </xf>
    <xf numFmtId="9" fontId="4" fillId="0" borderId="55" xfId="52" applyFont="1" applyBorder="1" applyAlignment="1">
      <alignment horizontal="center"/>
    </xf>
    <xf numFmtId="9" fontId="2" fillId="0" borderId="40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center"/>
    </xf>
    <xf numFmtId="9" fontId="2" fillId="0" borderId="56" xfId="0" applyNumberFormat="1" applyFont="1" applyBorder="1" applyAlignment="1">
      <alignment horizontal="right"/>
    </xf>
    <xf numFmtId="9" fontId="4" fillId="0" borderId="0" xfId="52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9" fontId="2" fillId="0" borderId="39" xfId="0" applyNumberFormat="1" applyFont="1" applyBorder="1" applyAlignment="1">
      <alignment/>
    </xf>
    <xf numFmtId="9" fontId="4" fillId="0" borderId="14" xfId="5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9" fontId="2" fillId="0" borderId="39" xfId="0" applyNumberFormat="1" applyFont="1" applyBorder="1" applyAlignment="1">
      <alignment horizontal="right"/>
    </xf>
    <xf numFmtId="9" fontId="2" fillId="0" borderId="57" xfId="0" applyNumberFormat="1" applyFont="1" applyBorder="1" applyAlignment="1">
      <alignment horizontal="right"/>
    </xf>
    <xf numFmtId="9" fontId="4" fillId="0" borderId="35" xfId="0" applyNumberFormat="1" applyFont="1" applyBorder="1" applyAlignment="1">
      <alignment horizontal="right"/>
    </xf>
    <xf numFmtId="9" fontId="4" fillId="0" borderId="15" xfId="0" applyNumberFormat="1" applyFont="1" applyBorder="1" applyAlignment="1">
      <alignment horizontal="right"/>
    </xf>
    <xf numFmtId="9" fontId="4" fillId="0" borderId="38" xfId="0" applyNumberFormat="1" applyFont="1" applyBorder="1" applyAlignment="1">
      <alignment horizontal="right"/>
    </xf>
    <xf numFmtId="9" fontId="2" fillId="0" borderId="58" xfId="0" applyNumberFormat="1" applyFont="1" applyBorder="1" applyAlignment="1">
      <alignment horizontal="right"/>
    </xf>
    <xf numFmtId="9" fontId="2" fillId="0" borderId="59" xfId="52" applyFont="1" applyBorder="1" applyAlignment="1">
      <alignment/>
    </xf>
    <xf numFmtId="9" fontId="2" fillId="0" borderId="39" xfId="52" applyFont="1" applyBorder="1" applyAlignment="1">
      <alignment/>
    </xf>
    <xf numFmtId="9" fontId="2" fillId="0" borderId="60" xfId="52" applyFont="1" applyBorder="1" applyAlignment="1">
      <alignment/>
    </xf>
    <xf numFmtId="9" fontId="4" fillId="0" borderId="38" xfId="52" applyFont="1" applyBorder="1" applyAlignment="1">
      <alignment horizontal="center"/>
    </xf>
    <xf numFmtId="9" fontId="2" fillId="0" borderId="40" xfId="0" applyNumberFormat="1" applyFont="1" applyBorder="1" applyAlignment="1">
      <alignment/>
    </xf>
    <xf numFmtId="9" fontId="2" fillId="0" borderId="57" xfId="0" applyNumberFormat="1" applyFont="1" applyBorder="1" applyAlignment="1">
      <alignment/>
    </xf>
    <xf numFmtId="9" fontId="2" fillId="0" borderId="57" xfId="52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9" fontId="2" fillId="0" borderId="38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/>
    </xf>
    <xf numFmtId="3" fontId="4" fillId="0" borderId="22" xfId="0" applyNumberFormat="1" applyFont="1" applyBorder="1" applyAlignment="1">
      <alignment horizontal="center" vertical="top"/>
    </xf>
    <xf numFmtId="9" fontId="2" fillId="0" borderId="54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top" wrapText="1"/>
    </xf>
    <xf numFmtId="9" fontId="4" fillId="0" borderId="14" xfId="0" applyNumberFormat="1" applyFont="1" applyBorder="1" applyAlignment="1">
      <alignment/>
    </xf>
    <xf numFmtId="9" fontId="4" fillId="0" borderId="3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6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2" fillId="0" borderId="56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62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63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6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4" fillId="0" borderId="6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52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9" fontId="2" fillId="0" borderId="12" xfId="52" applyFont="1" applyBorder="1" applyAlignment="1">
      <alignment horizontal="center"/>
    </xf>
    <xf numFmtId="9" fontId="2" fillId="0" borderId="11" xfId="52" applyFont="1" applyBorder="1" applyAlignment="1">
      <alignment horizontal="right"/>
    </xf>
    <xf numFmtId="9" fontId="2" fillId="0" borderId="66" xfId="52" applyFont="1" applyBorder="1" applyAlignment="1">
      <alignment horizontal="right"/>
    </xf>
    <xf numFmtId="0" fontId="4" fillId="0" borderId="14" xfId="0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2" fillId="0" borderId="67" xfId="0" applyNumberFormat="1" applyFont="1" applyBorder="1" applyAlignment="1">
      <alignment horizontal="right"/>
    </xf>
    <xf numFmtId="4" fontId="2" fillId="0" borderId="68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2" fillId="0" borderId="65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6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65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 horizontal="center"/>
    </xf>
    <xf numFmtId="9" fontId="2" fillId="0" borderId="71" xfId="0" applyNumberFormat="1" applyFont="1" applyBorder="1" applyAlignment="1">
      <alignment vertical="center"/>
    </xf>
    <xf numFmtId="9" fontId="2" fillId="0" borderId="37" xfId="0" applyNumberFormat="1" applyFont="1" applyBorder="1" applyAlignment="1">
      <alignment horizontal="center" vertical="center"/>
    </xf>
    <xf numFmtId="9" fontId="2" fillId="0" borderId="72" xfId="0" applyNumberFormat="1" applyFont="1" applyBorder="1" applyAlignment="1">
      <alignment horizontal="center"/>
    </xf>
    <xf numFmtId="9" fontId="4" fillId="0" borderId="37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right"/>
    </xf>
    <xf numFmtId="9" fontId="2" fillId="0" borderId="66" xfId="0" applyNumberFormat="1" applyFont="1" applyBorder="1" applyAlignment="1">
      <alignment horizontal="right"/>
    </xf>
    <xf numFmtId="9" fontId="4" fillId="0" borderId="37" xfId="52" applyNumberFormat="1" applyFont="1" applyBorder="1" applyAlignment="1">
      <alignment horizontal="center"/>
    </xf>
    <xf numFmtId="9" fontId="2" fillId="0" borderId="34" xfId="0" applyNumberFormat="1" applyFont="1" applyBorder="1" applyAlignment="1">
      <alignment horizontal="right"/>
    </xf>
    <xf numFmtId="9" fontId="4" fillId="0" borderId="73" xfId="0" applyNumberFormat="1" applyFont="1" applyBorder="1" applyAlignment="1">
      <alignment horizontal="center"/>
    </xf>
    <xf numFmtId="9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0" borderId="75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2355357"/>
        <c:axId val="21198214"/>
        <c:axId val="56566199"/>
      </c:bar3DChart>
      <c:catAx>
        <c:axId val="235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98214"/>
        <c:crosses val="autoZero"/>
        <c:auto val="0"/>
        <c:lblOffset val="100"/>
        <c:tickLblSkip val="16"/>
        <c:noMultiLvlLbl val="0"/>
      </c:catAx>
      <c:valAx>
        <c:axId val="21198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57"/>
        <c:crossesAt val="1"/>
        <c:crossBetween val="between"/>
        <c:dispUnits/>
      </c:valAx>
      <c:serAx>
        <c:axId val="56566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98214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461912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39333744"/>
        <c:axId val="18459377"/>
        <c:axId val="31916666"/>
      </c:bar3DChart>
      <c:catAx>
        <c:axId val="39333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59377"/>
        <c:crosses val="autoZero"/>
        <c:auto val="0"/>
        <c:lblOffset val="100"/>
        <c:tickLblSkip val="5"/>
        <c:noMultiLvlLbl val="0"/>
      </c:catAx>
      <c:valAx>
        <c:axId val="18459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3744"/>
        <c:crossesAt val="1"/>
        <c:crossBetween val="between"/>
        <c:dispUnits/>
      </c:valAx>
      <c:serAx>
        <c:axId val="319166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59377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18814539"/>
        <c:axId val="35113124"/>
        <c:axId val="47582661"/>
      </c:bar3DChart>
      <c:catAx>
        <c:axId val="1881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13124"/>
        <c:crosses val="autoZero"/>
        <c:auto val="0"/>
        <c:lblOffset val="100"/>
        <c:tickLblSkip val="16"/>
        <c:noMultiLvlLbl val="0"/>
      </c:catAx>
      <c:valAx>
        <c:axId val="35113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4539"/>
        <c:crossesAt val="1"/>
        <c:crossBetween val="between"/>
        <c:dispUnits/>
      </c:valAx>
      <c:serAx>
        <c:axId val="475826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24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461912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25590766"/>
        <c:axId val="28990303"/>
        <c:axId val="59586136"/>
      </c:bar3DChart>
      <c:catAx>
        <c:axId val="2559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90303"/>
        <c:crosses val="autoZero"/>
        <c:auto val="0"/>
        <c:lblOffset val="100"/>
        <c:tickLblSkip val="5"/>
        <c:noMultiLvlLbl val="0"/>
      </c:catAx>
      <c:valAx>
        <c:axId val="28990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766"/>
        <c:crossesAt val="1"/>
        <c:crossBetween val="between"/>
        <c:dispUnits/>
      </c:valAx>
      <c:serAx>
        <c:axId val="595861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90303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461912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66513177"/>
        <c:axId val="61747682"/>
        <c:axId val="18858227"/>
      </c:bar3DChart>
      <c:catAx>
        <c:axId val="66513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47682"/>
        <c:crosses val="autoZero"/>
        <c:auto val="0"/>
        <c:lblOffset val="100"/>
        <c:tickLblSkip val="5"/>
        <c:noMultiLvlLbl val="0"/>
      </c:catAx>
      <c:valAx>
        <c:axId val="61747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177"/>
        <c:crossesAt val="1"/>
        <c:crossBetween val="between"/>
        <c:dispUnits/>
      </c:valAx>
      <c:serAx>
        <c:axId val="188582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47682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461912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35506316"/>
        <c:axId val="51121389"/>
        <c:axId val="57439318"/>
      </c:bar3DChart>
      <c:catAx>
        <c:axId val="355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21389"/>
        <c:crosses val="autoZero"/>
        <c:auto val="0"/>
        <c:lblOffset val="100"/>
        <c:tickLblSkip val="5"/>
        <c:noMultiLvlLbl val="0"/>
      </c:catAx>
      <c:valAx>
        <c:axId val="51121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06316"/>
        <c:crossesAt val="1"/>
        <c:crossBetween val="between"/>
        <c:dispUnits/>
      </c:valAx>
      <c:serAx>
        <c:axId val="574393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389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461912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47191815"/>
        <c:axId val="22073152"/>
        <c:axId val="64440641"/>
      </c:bar3D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73152"/>
        <c:crosses val="autoZero"/>
        <c:auto val="0"/>
        <c:lblOffset val="100"/>
        <c:tickLblSkip val="5"/>
        <c:noMultiLvlLbl val="0"/>
      </c:catAx>
      <c:valAx>
        <c:axId val="22073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1815"/>
        <c:crossesAt val="1"/>
        <c:crossBetween val="between"/>
        <c:dispUnits/>
      </c:valAx>
      <c:serAx>
        <c:axId val="644406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52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461912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43094858"/>
        <c:axId val="52309403"/>
        <c:axId val="1022580"/>
      </c:bar3D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09403"/>
        <c:crosses val="autoZero"/>
        <c:auto val="0"/>
        <c:lblOffset val="100"/>
        <c:tickLblSkip val="5"/>
        <c:noMultiLvlLbl val="0"/>
      </c:catAx>
      <c:valAx>
        <c:axId val="52309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858"/>
        <c:crossesAt val="1"/>
        <c:crossBetween val="between"/>
        <c:dispUnits/>
      </c:valAx>
      <c:serAx>
        <c:axId val="10225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09403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461912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9203221"/>
        <c:axId val="15720126"/>
        <c:axId val="7263407"/>
      </c:bar3DChart>
      <c:catAx>
        <c:axId val="9203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20126"/>
        <c:crosses val="autoZero"/>
        <c:auto val="0"/>
        <c:lblOffset val="100"/>
        <c:tickLblSkip val="5"/>
        <c:noMultiLvlLbl val="0"/>
      </c:catAx>
      <c:valAx>
        <c:axId val="15720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03221"/>
        <c:crossesAt val="1"/>
        <c:crossBetween val="between"/>
        <c:dispUnits/>
      </c:valAx>
      <c:serAx>
        <c:axId val="72634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20126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92</xdr:row>
      <xdr:rowOff>0</xdr:rowOff>
    </xdr:from>
    <xdr:to>
      <xdr:col>11</xdr:col>
      <xdr:colOff>0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12934950" y="394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2" name="Chart 4"/>
        <xdr:cNvGraphicFramePr/>
      </xdr:nvGraphicFramePr>
      <xdr:xfrm>
        <a:off x="12934950" y="1263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100</xdr:row>
      <xdr:rowOff>0</xdr:rowOff>
    </xdr:from>
    <xdr:to>
      <xdr:col>11</xdr:col>
      <xdr:colOff>0</xdr:colOff>
      <xdr:row>100</xdr:row>
      <xdr:rowOff>0</xdr:rowOff>
    </xdr:to>
    <xdr:graphicFrame>
      <xdr:nvGraphicFramePr>
        <xdr:cNvPr id="3" name="Chart 5"/>
        <xdr:cNvGraphicFramePr/>
      </xdr:nvGraphicFramePr>
      <xdr:xfrm>
        <a:off x="12934950" y="42100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285750</xdr:colOff>
      <xdr:row>9</xdr:row>
      <xdr:rowOff>0</xdr:rowOff>
    </xdr:from>
    <xdr:to>
      <xdr:col>19</xdr:col>
      <xdr:colOff>295275</xdr:colOff>
      <xdr:row>9</xdr:row>
      <xdr:rowOff>0</xdr:rowOff>
    </xdr:to>
    <xdr:sp fLocksText="0">
      <xdr:nvSpPr>
        <xdr:cNvPr id="4" name="Tekst 3"/>
        <xdr:cNvSpPr txBox="1">
          <a:spLocks noChangeArrowheads="1"/>
        </xdr:cNvSpPr>
      </xdr:nvSpPr>
      <xdr:spPr>
        <a:xfrm>
          <a:off x="19535775" y="37623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5" name="Chart 8"/>
        <xdr:cNvGraphicFramePr/>
      </xdr:nvGraphicFramePr>
      <xdr:xfrm>
        <a:off x="12934950" y="14116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100</xdr:row>
      <xdr:rowOff>0</xdr:rowOff>
    </xdr:from>
    <xdr:to>
      <xdr:col>14</xdr:col>
      <xdr:colOff>0</xdr:colOff>
      <xdr:row>100</xdr:row>
      <xdr:rowOff>0</xdr:rowOff>
    </xdr:to>
    <xdr:graphicFrame>
      <xdr:nvGraphicFramePr>
        <xdr:cNvPr id="6" name="Chart 9"/>
        <xdr:cNvGraphicFramePr/>
      </xdr:nvGraphicFramePr>
      <xdr:xfrm>
        <a:off x="15782925" y="42100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7" name="Chart 10"/>
        <xdr:cNvGraphicFramePr/>
      </xdr:nvGraphicFramePr>
      <xdr:xfrm>
        <a:off x="15782925" y="141160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8" name="Chart 11"/>
        <xdr:cNvGraphicFramePr/>
      </xdr:nvGraphicFramePr>
      <xdr:xfrm>
        <a:off x="12934950" y="14601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0</xdr:colOff>
      <xdr:row>35</xdr:row>
      <xdr:rowOff>0</xdr:rowOff>
    </xdr:to>
    <xdr:graphicFrame>
      <xdr:nvGraphicFramePr>
        <xdr:cNvPr id="9" name="Chart 12"/>
        <xdr:cNvGraphicFramePr/>
      </xdr:nvGraphicFramePr>
      <xdr:xfrm>
        <a:off x="15782925" y="14601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0" name="Chart 13"/>
        <xdr:cNvGraphicFramePr/>
      </xdr:nvGraphicFramePr>
      <xdr:xfrm>
        <a:off x="12934950" y="160115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&#380;et\ABS_D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_D97"/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1"/>
  <sheetViews>
    <sheetView tabSelected="1" view="pageBreakPreview" zoomScale="60" zoomScaleNormal="75" zoomScalePageLayoutView="0" workbookViewId="0" topLeftCell="I1">
      <selection activeCell="AE16" sqref="AE16"/>
    </sheetView>
  </sheetViews>
  <sheetFormatPr defaultColWidth="9.140625" defaultRowHeight="12.75"/>
  <cols>
    <col min="1" max="1" width="5.57421875" style="35" customWidth="1"/>
    <col min="2" max="2" width="8.28125" style="36" customWidth="1"/>
    <col min="3" max="3" width="7.28125" style="37" bestFit="1" customWidth="1"/>
    <col min="4" max="4" width="61.140625" style="35" customWidth="1"/>
    <col min="5" max="5" width="18.140625" style="35" customWidth="1"/>
    <col min="6" max="6" width="18.28125" style="35" customWidth="1"/>
    <col min="7" max="7" width="9.7109375" style="252" customWidth="1"/>
    <col min="8" max="8" width="18.7109375" style="35" customWidth="1"/>
    <col min="9" max="9" width="18.421875" style="35" customWidth="1"/>
    <col min="10" max="10" width="10.421875" style="35" customWidth="1"/>
    <col min="11" max="11" width="18.00390625" style="35" customWidth="1"/>
    <col min="12" max="12" width="18.140625" style="35" customWidth="1"/>
    <col min="13" max="13" width="9.7109375" style="35" customWidth="1"/>
    <col min="14" max="15" width="14.8515625" style="35" customWidth="1"/>
    <col min="16" max="16" width="9.7109375" style="35" customWidth="1"/>
    <col min="17" max="16384" width="9.140625" style="35" customWidth="1"/>
  </cols>
  <sheetData>
    <row r="1" spans="1:169" s="62" customFormat="1" ht="28.5" customHeight="1" thickBot="1" thickTop="1">
      <c r="A1" s="258" t="s">
        <v>0</v>
      </c>
      <c r="B1" s="258" t="s">
        <v>1</v>
      </c>
      <c r="C1" s="260" t="s">
        <v>2</v>
      </c>
      <c r="D1" s="258" t="s">
        <v>3</v>
      </c>
      <c r="E1" s="58"/>
      <c r="F1" s="59" t="s">
        <v>46</v>
      </c>
      <c r="G1" s="242"/>
      <c r="H1" s="59" t="s">
        <v>83</v>
      </c>
      <c r="I1" s="60"/>
      <c r="J1" s="59"/>
      <c r="K1" s="61" t="s">
        <v>84</v>
      </c>
      <c r="L1" s="60"/>
      <c r="M1" s="59"/>
      <c r="N1" s="255" t="s">
        <v>87</v>
      </c>
      <c r="O1" s="256"/>
      <c r="P1" s="257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</row>
    <row r="2" spans="1:169" s="69" customFormat="1" ht="38.25" customHeight="1" thickBot="1">
      <c r="A2" s="259"/>
      <c r="B2" s="259"/>
      <c r="C2" s="261"/>
      <c r="D2" s="262"/>
      <c r="E2" s="63" t="s">
        <v>85</v>
      </c>
      <c r="F2" s="63" t="s">
        <v>86</v>
      </c>
      <c r="G2" s="243" t="s">
        <v>82</v>
      </c>
      <c r="H2" s="64" t="s">
        <v>81</v>
      </c>
      <c r="I2" s="63" t="s">
        <v>78</v>
      </c>
      <c r="J2" s="65" t="s">
        <v>82</v>
      </c>
      <c r="K2" s="66" t="s">
        <v>81</v>
      </c>
      <c r="L2" s="67" t="s">
        <v>78</v>
      </c>
      <c r="M2" s="46" t="s">
        <v>82</v>
      </c>
      <c r="N2" s="66" t="s">
        <v>81</v>
      </c>
      <c r="O2" s="67" t="s">
        <v>78</v>
      </c>
      <c r="P2" s="67" t="s">
        <v>82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</row>
    <row r="3" spans="1:169" s="71" customFormat="1" ht="18.75" customHeight="1" thickBot="1">
      <c r="A3" s="40">
        <v>1</v>
      </c>
      <c r="B3" s="40">
        <v>2</v>
      </c>
      <c r="C3" s="141">
        <v>3</v>
      </c>
      <c r="D3" s="40">
        <v>4</v>
      </c>
      <c r="E3" s="57">
        <v>5</v>
      </c>
      <c r="F3" s="57">
        <v>6</v>
      </c>
      <c r="G3" s="244">
        <v>7</v>
      </c>
      <c r="H3" s="41">
        <v>8</v>
      </c>
      <c r="I3" s="40">
        <v>9</v>
      </c>
      <c r="J3" s="54">
        <v>10</v>
      </c>
      <c r="K3" s="70">
        <v>11</v>
      </c>
      <c r="L3" s="40">
        <v>12</v>
      </c>
      <c r="M3" s="54">
        <v>13</v>
      </c>
      <c r="N3" s="70">
        <v>14</v>
      </c>
      <c r="O3" s="40">
        <v>15</v>
      </c>
      <c r="P3" s="40">
        <v>16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</row>
    <row r="4" spans="1:169" s="75" customFormat="1" ht="20.25" thickBot="1" thickTop="1">
      <c r="A4" s="11" t="str">
        <f>"020"</f>
        <v>020</v>
      </c>
      <c r="B4" s="11"/>
      <c r="C4" s="13"/>
      <c r="D4" s="12" t="s">
        <v>19</v>
      </c>
      <c r="E4" s="186">
        <f>E5</f>
        <v>2500</v>
      </c>
      <c r="F4" s="186">
        <f>F5</f>
        <v>1078.72</v>
      </c>
      <c r="G4" s="245">
        <f>F4/E4</f>
        <v>0.43148800000000004</v>
      </c>
      <c r="H4" s="186">
        <f>H5</f>
        <v>2500</v>
      </c>
      <c r="I4" s="186">
        <f>I5</f>
        <v>1078.72</v>
      </c>
      <c r="J4" s="74">
        <f>I4/H4</f>
        <v>0.43148800000000004</v>
      </c>
      <c r="K4" s="209"/>
      <c r="L4" s="186"/>
      <c r="M4" s="74"/>
      <c r="N4" s="209"/>
      <c r="O4" s="186"/>
      <c r="P4" s="14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</row>
    <row r="5" spans="1:169" s="75" customFormat="1" ht="19.5" thickBot="1">
      <c r="A5" s="7"/>
      <c r="B5" s="7" t="str">
        <f>"02095"</f>
        <v>02095</v>
      </c>
      <c r="C5" s="6"/>
      <c r="D5" s="15" t="s">
        <v>4</v>
      </c>
      <c r="E5" s="182">
        <f>E6</f>
        <v>2500</v>
      </c>
      <c r="F5" s="182">
        <f>F6</f>
        <v>1078.72</v>
      </c>
      <c r="G5" s="246">
        <f>F5/E5</f>
        <v>0.43148800000000004</v>
      </c>
      <c r="H5" s="182">
        <f>H6</f>
        <v>2500</v>
      </c>
      <c r="I5" s="182">
        <f>I6</f>
        <v>1078.72</v>
      </c>
      <c r="J5" s="72">
        <f>I6/H6</f>
        <v>0.43148800000000004</v>
      </c>
      <c r="K5" s="234"/>
      <c r="L5" s="182"/>
      <c r="M5" s="72"/>
      <c r="N5" s="234"/>
      <c r="O5" s="182"/>
      <c r="P5" s="26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</row>
    <row r="6" spans="1:169" s="76" customFormat="1" ht="75.75" thickBot="1">
      <c r="A6" s="7"/>
      <c r="B6" s="7"/>
      <c r="C6" s="168" t="str">
        <f>"0750"</f>
        <v>0750</v>
      </c>
      <c r="D6" s="147" t="s">
        <v>108</v>
      </c>
      <c r="E6" s="184">
        <v>2500</v>
      </c>
      <c r="F6" s="184">
        <v>1078.72</v>
      </c>
      <c r="G6" s="247">
        <f>F6/E6</f>
        <v>0.43148800000000004</v>
      </c>
      <c r="H6" s="185">
        <v>2500</v>
      </c>
      <c r="I6" s="184">
        <v>1078.72</v>
      </c>
      <c r="J6" s="73">
        <f>I6/H6</f>
        <v>0.43148800000000004</v>
      </c>
      <c r="K6" s="205"/>
      <c r="L6" s="184"/>
      <c r="M6" s="73"/>
      <c r="N6" s="205"/>
      <c r="O6" s="184"/>
      <c r="P6" s="10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</row>
    <row r="7" spans="1:169" s="39" customFormat="1" ht="19.5" thickBot="1">
      <c r="A7" s="11">
        <v>600</v>
      </c>
      <c r="B7" s="11"/>
      <c r="C7" s="13"/>
      <c r="D7" s="12" t="s">
        <v>22</v>
      </c>
      <c r="E7" s="186">
        <f>E8</f>
        <v>9000</v>
      </c>
      <c r="F7" s="186">
        <f>F8</f>
        <v>4500</v>
      </c>
      <c r="G7" s="245">
        <f aca="true" t="shared" si="0" ref="G7:G14">F7/E7</f>
        <v>0.5</v>
      </c>
      <c r="H7" s="192"/>
      <c r="I7" s="186"/>
      <c r="J7" s="74"/>
      <c r="K7" s="209"/>
      <c r="L7" s="186"/>
      <c r="M7" s="74"/>
      <c r="N7" s="209">
        <f>N8</f>
        <v>9000</v>
      </c>
      <c r="O7" s="209">
        <f>O8</f>
        <v>4500</v>
      </c>
      <c r="P7" s="146">
        <f>O7/N7</f>
        <v>0.5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</row>
    <row r="8" spans="1:16" ht="18.75">
      <c r="A8" s="7"/>
      <c r="B8" s="21">
        <v>60014</v>
      </c>
      <c r="C8" s="21"/>
      <c r="D8" s="22" t="s">
        <v>18</v>
      </c>
      <c r="E8" s="189">
        <f>E9</f>
        <v>9000</v>
      </c>
      <c r="F8" s="189">
        <f>F9</f>
        <v>4500</v>
      </c>
      <c r="G8" s="246">
        <f t="shared" si="0"/>
        <v>0.5</v>
      </c>
      <c r="H8" s="189"/>
      <c r="I8" s="189"/>
      <c r="J8" s="72"/>
      <c r="K8" s="204"/>
      <c r="L8" s="189"/>
      <c r="M8" s="79"/>
      <c r="N8" s="204">
        <f>N9</f>
        <v>9000</v>
      </c>
      <c r="O8" s="189">
        <f>O9</f>
        <v>4500</v>
      </c>
      <c r="P8" s="8">
        <f>O8/N8</f>
        <v>0.5</v>
      </c>
    </row>
    <row r="9" spans="1:16" ht="57" thickBot="1">
      <c r="A9" s="7"/>
      <c r="B9" s="7"/>
      <c r="C9" s="168">
        <v>2320</v>
      </c>
      <c r="D9" s="147" t="s">
        <v>141</v>
      </c>
      <c r="E9" s="184">
        <v>9000</v>
      </c>
      <c r="F9" s="184">
        <v>4500</v>
      </c>
      <c r="G9" s="247">
        <f t="shared" si="0"/>
        <v>0.5</v>
      </c>
      <c r="H9" s="185"/>
      <c r="I9" s="184"/>
      <c r="J9" s="73"/>
      <c r="K9" s="205"/>
      <c r="L9" s="184"/>
      <c r="M9" s="73"/>
      <c r="N9" s="205">
        <v>9000</v>
      </c>
      <c r="O9" s="184">
        <v>4500</v>
      </c>
      <c r="P9" s="155">
        <f>O9/N9</f>
        <v>0.5</v>
      </c>
    </row>
    <row r="10" spans="1:16" ht="19.5" thickBot="1">
      <c r="A10" s="12">
        <v>700</v>
      </c>
      <c r="B10" s="12"/>
      <c r="C10" s="13"/>
      <c r="D10" s="12" t="s">
        <v>5</v>
      </c>
      <c r="E10" s="186">
        <f>E11</f>
        <v>1050600</v>
      </c>
      <c r="F10" s="186">
        <f>F11</f>
        <v>132857.47</v>
      </c>
      <c r="G10" s="245">
        <f t="shared" si="0"/>
        <v>0.12645866171711403</v>
      </c>
      <c r="H10" s="186">
        <f>H11</f>
        <v>1050600</v>
      </c>
      <c r="I10" s="186">
        <f>I11</f>
        <v>132857.47</v>
      </c>
      <c r="J10" s="74">
        <f>I10/H10</f>
        <v>0.12645866171711403</v>
      </c>
      <c r="K10" s="209"/>
      <c r="L10" s="186"/>
      <c r="M10" s="74"/>
      <c r="N10" s="209"/>
      <c r="O10" s="186"/>
      <c r="P10" s="14"/>
    </row>
    <row r="11" spans="1:16" ht="18.75">
      <c r="A11" s="19"/>
      <c r="B11" s="15">
        <v>70005</v>
      </c>
      <c r="C11" s="6"/>
      <c r="D11" s="15" t="s">
        <v>17</v>
      </c>
      <c r="E11" s="182">
        <f>SUM(E12:E17)</f>
        <v>1050600</v>
      </c>
      <c r="F11" s="182">
        <f>SUM(F12:F17)</f>
        <v>132857.47</v>
      </c>
      <c r="G11" s="246">
        <f t="shared" si="0"/>
        <v>0.12645866171711403</v>
      </c>
      <c r="H11" s="182">
        <f>SUM(H12:H17)</f>
        <v>1050600</v>
      </c>
      <c r="I11" s="182">
        <f>SUM(I12:I17)</f>
        <v>132857.47</v>
      </c>
      <c r="J11" s="72">
        <f>I12/H12</f>
        <v>0.891857</v>
      </c>
      <c r="K11" s="234"/>
      <c r="L11" s="182"/>
      <c r="M11" s="72"/>
      <c r="N11" s="234"/>
      <c r="O11" s="182"/>
      <c r="P11" s="26"/>
    </row>
    <row r="12" spans="1:169" s="82" customFormat="1" ht="37.5">
      <c r="A12" s="19"/>
      <c r="B12" s="15"/>
      <c r="C12" s="168" t="str">
        <f>"0470"</f>
        <v>0470</v>
      </c>
      <c r="D12" s="147" t="s">
        <v>157</v>
      </c>
      <c r="E12" s="184">
        <v>10000</v>
      </c>
      <c r="F12" s="184">
        <v>8918.57</v>
      </c>
      <c r="G12" s="247">
        <f t="shared" si="0"/>
        <v>0.891857</v>
      </c>
      <c r="H12" s="185">
        <v>10000</v>
      </c>
      <c r="I12" s="184">
        <v>8918.57</v>
      </c>
      <c r="J12" s="73">
        <f>I12/H12</f>
        <v>0.891857</v>
      </c>
      <c r="K12" s="234"/>
      <c r="L12" s="182"/>
      <c r="M12" s="72"/>
      <c r="N12" s="234"/>
      <c r="O12" s="182"/>
      <c r="P12" s="26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</row>
    <row r="13" spans="1:16" ht="93.75">
      <c r="A13" s="19"/>
      <c r="B13" s="15"/>
      <c r="C13" s="168" t="str">
        <f>"0750"</f>
        <v>0750</v>
      </c>
      <c r="D13" s="147" t="s">
        <v>158</v>
      </c>
      <c r="E13" s="184">
        <v>182100</v>
      </c>
      <c r="F13" s="184">
        <v>63731.77</v>
      </c>
      <c r="G13" s="247">
        <f t="shared" si="0"/>
        <v>0.34998226249313563</v>
      </c>
      <c r="H13" s="185">
        <v>182100</v>
      </c>
      <c r="I13" s="184">
        <v>63731.77</v>
      </c>
      <c r="J13" s="73">
        <f>I13/H13</f>
        <v>0.34998226249313563</v>
      </c>
      <c r="K13" s="205"/>
      <c r="L13" s="184"/>
      <c r="M13" s="73"/>
      <c r="N13" s="205"/>
      <c r="O13" s="184"/>
      <c r="P13" s="10"/>
    </row>
    <row r="14" spans="1:16" ht="56.25">
      <c r="A14" s="19"/>
      <c r="B14" s="15"/>
      <c r="C14" s="168" t="str">
        <f>"0760"</f>
        <v>0760</v>
      </c>
      <c r="D14" s="147" t="s">
        <v>107</v>
      </c>
      <c r="E14" s="184">
        <v>4100</v>
      </c>
      <c r="F14" s="184">
        <v>2911.54</v>
      </c>
      <c r="G14" s="247">
        <f t="shared" si="0"/>
        <v>0.7101317073170732</v>
      </c>
      <c r="H14" s="185">
        <v>4100</v>
      </c>
      <c r="I14" s="184">
        <v>2911.54</v>
      </c>
      <c r="J14" s="73">
        <f>I14/H14</f>
        <v>0.7101317073170732</v>
      </c>
      <c r="K14" s="205"/>
      <c r="L14" s="184"/>
      <c r="M14" s="73"/>
      <c r="N14" s="205"/>
      <c r="O14" s="184"/>
      <c r="P14" s="10"/>
    </row>
    <row r="15" spans="1:16" ht="37.5">
      <c r="A15" s="19"/>
      <c r="B15" s="15"/>
      <c r="C15" s="168" t="str">
        <f>"0770"</f>
        <v>0770</v>
      </c>
      <c r="D15" s="147" t="s">
        <v>142</v>
      </c>
      <c r="E15" s="184">
        <v>850000</v>
      </c>
      <c r="F15" s="184">
        <v>57277</v>
      </c>
      <c r="G15" s="247">
        <f aca="true" t="shared" si="1" ref="G15:G20">F15/E15</f>
        <v>0.06738470588235294</v>
      </c>
      <c r="H15" s="185">
        <v>850000</v>
      </c>
      <c r="I15" s="184">
        <v>57277</v>
      </c>
      <c r="J15" s="73">
        <f aca="true" t="shared" si="2" ref="J15:J20">I15/H15</f>
        <v>0.06738470588235294</v>
      </c>
      <c r="K15" s="205"/>
      <c r="L15" s="184"/>
      <c r="M15" s="73"/>
      <c r="N15" s="205"/>
      <c r="O15" s="184"/>
      <c r="P15" s="10"/>
    </row>
    <row r="16" spans="1:16" ht="18.75">
      <c r="A16" s="19"/>
      <c r="B16" s="15"/>
      <c r="C16" s="6" t="str">
        <f>"0920"</f>
        <v>0920</v>
      </c>
      <c r="D16" s="9" t="s">
        <v>24</v>
      </c>
      <c r="E16" s="184">
        <v>300</v>
      </c>
      <c r="F16" s="184">
        <v>18.59</v>
      </c>
      <c r="G16" s="247">
        <f t="shared" si="1"/>
        <v>0.06196666666666666</v>
      </c>
      <c r="H16" s="230">
        <v>300</v>
      </c>
      <c r="I16" s="184">
        <v>18.59</v>
      </c>
      <c r="J16" s="73">
        <f t="shared" si="2"/>
        <v>0.06196666666666666</v>
      </c>
      <c r="K16" s="205"/>
      <c r="L16" s="184"/>
      <c r="M16" s="73"/>
      <c r="N16" s="205"/>
      <c r="O16" s="184"/>
      <c r="P16" s="10"/>
    </row>
    <row r="17" spans="1:16" ht="19.5" thickBot="1">
      <c r="A17" s="19"/>
      <c r="B17" s="15"/>
      <c r="C17" s="6" t="str">
        <f>"0970"</f>
        <v>0970</v>
      </c>
      <c r="D17" s="9" t="s">
        <v>40</v>
      </c>
      <c r="E17" s="184">
        <v>4100</v>
      </c>
      <c r="F17" s="184">
        <v>0</v>
      </c>
      <c r="G17" s="248">
        <f t="shared" si="1"/>
        <v>0</v>
      </c>
      <c r="H17" s="231">
        <v>4100</v>
      </c>
      <c r="I17" s="184">
        <v>0</v>
      </c>
      <c r="J17" s="73">
        <f t="shared" si="2"/>
        <v>0</v>
      </c>
      <c r="K17" s="205"/>
      <c r="L17" s="184"/>
      <c r="M17" s="73"/>
      <c r="N17" s="205"/>
      <c r="O17" s="184"/>
      <c r="P17" s="10"/>
    </row>
    <row r="18" spans="1:16" ht="19.5" thickBot="1">
      <c r="A18" s="12">
        <v>710</v>
      </c>
      <c r="B18" s="12"/>
      <c r="C18" s="13"/>
      <c r="D18" s="12" t="s">
        <v>34</v>
      </c>
      <c r="E18" s="186">
        <f>E19+E22</f>
        <v>47688</v>
      </c>
      <c r="F18" s="186">
        <f>F19+F22</f>
        <v>8080</v>
      </c>
      <c r="G18" s="249">
        <f t="shared" si="1"/>
        <v>0.16943465861432647</v>
      </c>
      <c r="H18" s="186">
        <f>H19+H22</f>
        <v>47688</v>
      </c>
      <c r="I18" s="186">
        <f>I19+I22</f>
        <v>8080</v>
      </c>
      <c r="J18" s="74">
        <f t="shared" si="2"/>
        <v>0.16943465861432647</v>
      </c>
      <c r="K18" s="209"/>
      <c r="L18" s="186"/>
      <c r="M18" s="74"/>
      <c r="N18" s="209"/>
      <c r="O18" s="209"/>
      <c r="P18" s="146"/>
    </row>
    <row r="19" spans="1:16" ht="18.75">
      <c r="A19" s="15"/>
      <c r="B19" s="15">
        <v>71035</v>
      </c>
      <c r="C19" s="6"/>
      <c r="D19" s="15" t="s">
        <v>35</v>
      </c>
      <c r="E19" s="182">
        <f>SUM(E20:E21)</f>
        <v>4000</v>
      </c>
      <c r="F19" s="182">
        <f>SUM(F20:F21)</f>
        <v>8080</v>
      </c>
      <c r="G19" s="246">
        <f t="shared" si="1"/>
        <v>2.02</v>
      </c>
      <c r="H19" s="182">
        <f>SUM(H20:H21)</f>
        <v>4000</v>
      </c>
      <c r="I19" s="182">
        <f>SUM(I20:I21)</f>
        <v>8080</v>
      </c>
      <c r="J19" s="72">
        <f t="shared" si="2"/>
        <v>2.02</v>
      </c>
      <c r="K19" s="234"/>
      <c r="L19" s="182"/>
      <c r="M19" s="72"/>
      <c r="N19" s="234"/>
      <c r="O19" s="234"/>
      <c r="P19" s="8"/>
    </row>
    <row r="20" spans="1:16" ht="93.75">
      <c r="A20" s="9"/>
      <c r="B20" s="9"/>
      <c r="C20" s="168" t="str">
        <f>"0750"</f>
        <v>0750</v>
      </c>
      <c r="D20" s="147" t="s">
        <v>158</v>
      </c>
      <c r="E20" s="184">
        <v>4000</v>
      </c>
      <c r="F20" s="184">
        <v>3480</v>
      </c>
      <c r="G20" s="247">
        <f t="shared" si="1"/>
        <v>0.87</v>
      </c>
      <c r="H20" s="185">
        <v>4000</v>
      </c>
      <c r="I20" s="184">
        <v>3480</v>
      </c>
      <c r="J20" s="73">
        <f t="shared" si="2"/>
        <v>0.87</v>
      </c>
      <c r="K20" s="205"/>
      <c r="L20" s="184"/>
      <c r="M20" s="73"/>
      <c r="N20" s="205"/>
      <c r="O20" s="205"/>
      <c r="P20" s="10"/>
    </row>
    <row r="21" spans="1:16" ht="18.75">
      <c r="A21" s="19"/>
      <c r="B21" s="15"/>
      <c r="C21" s="6" t="str">
        <f>"0830"</f>
        <v>0830</v>
      </c>
      <c r="D21" s="9" t="s">
        <v>6</v>
      </c>
      <c r="E21" s="184">
        <v>0</v>
      </c>
      <c r="F21" s="184">
        <v>4600</v>
      </c>
      <c r="G21" s="247"/>
      <c r="H21" s="185">
        <v>0</v>
      </c>
      <c r="I21" s="184">
        <v>4600</v>
      </c>
      <c r="J21" s="73"/>
      <c r="K21" s="205"/>
      <c r="L21" s="184"/>
      <c r="M21" s="73"/>
      <c r="N21" s="205"/>
      <c r="O21" s="184"/>
      <c r="P21" s="10"/>
    </row>
    <row r="22" spans="1:16" ht="18.75">
      <c r="A22" s="19"/>
      <c r="B22" s="22">
        <v>71097</v>
      </c>
      <c r="C22" s="21"/>
      <c r="D22" s="22" t="s">
        <v>152</v>
      </c>
      <c r="E22" s="189">
        <f>E23</f>
        <v>43688</v>
      </c>
      <c r="F22" s="189">
        <f>F23</f>
        <v>0</v>
      </c>
      <c r="G22" s="78">
        <f>F22/E22</f>
        <v>0</v>
      </c>
      <c r="H22" s="187">
        <f>H23</f>
        <v>43688</v>
      </c>
      <c r="I22" s="189">
        <f>I23</f>
        <v>0</v>
      </c>
      <c r="J22" s="92">
        <f>I22/H22</f>
        <v>0</v>
      </c>
      <c r="K22" s="216"/>
      <c r="L22" s="223"/>
      <c r="M22" s="90"/>
      <c r="N22" s="222"/>
      <c r="O22" s="223"/>
      <c r="P22" s="91"/>
    </row>
    <row r="23" spans="1:16" ht="38.25" thickBot="1">
      <c r="A23" s="19"/>
      <c r="B23" s="15"/>
      <c r="C23" s="168">
        <v>2380</v>
      </c>
      <c r="D23" s="177" t="s">
        <v>153</v>
      </c>
      <c r="E23" s="184">
        <v>43688</v>
      </c>
      <c r="F23" s="184">
        <v>0</v>
      </c>
      <c r="G23" s="247">
        <f>F23/E23</f>
        <v>0</v>
      </c>
      <c r="H23" s="185">
        <v>43688</v>
      </c>
      <c r="I23" s="184">
        <v>0</v>
      </c>
      <c r="J23" s="151">
        <f>I23/H23</f>
        <v>0</v>
      </c>
      <c r="K23" s="185"/>
      <c r="L23" s="184"/>
      <c r="M23" s="73"/>
      <c r="N23" s="205"/>
      <c r="O23" s="184"/>
      <c r="P23" s="10"/>
    </row>
    <row r="24" spans="1:169" s="39" customFormat="1" ht="19.5" thickBot="1">
      <c r="A24" s="12">
        <v>750</v>
      </c>
      <c r="B24" s="12"/>
      <c r="C24" s="13"/>
      <c r="D24" s="12" t="s">
        <v>25</v>
      </c>
      <c r="E24" s="186">
        <f>E25+E28+E31+E33</f>
        <v>95700</v>
      </c>
      <c r="F24" s="186">
        <f>F25+F28+F31+F33</f>
        <v>51404.86</v>
      </c>
      <c r="G24" s="245">
        <f aca="true" t="shared" si="3" ref="G24:G30">F24/E24</f>
        <v>0.5371458725182863</v>
      </c>
      <c r="H24" s="186">
        <f>H25+H28+H31+H33</f>
        <v>4700</v>
      </c>
      <c r="I24" s="186">
        <f>I25+I28+I31+I33</f>
        <v>2086.8599999999997</v>
      </c>
      <c r="J24" s="84">
        <f>I24/H24</f>
        <v>0.44401276595744676</v>
      </c>
      <c r="K24" s="192">
        <f>SUM(K26)</f>
        <v>91000</v>
      </c>
      <c r="L24" s="186">
        <f>SUM(L26)</f>
        <v>49318</v>
      </c>
      <c r="M24" s="84">
        <f>L24/K24</f>
        <v>0.5419560439560439</v>
      </c>
      <c r="N24" s="209"/>
      <c r="O24" s="186"/>
      <c r="P24" s="1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</row>
    <row r="25" spans="1:169" s="39" customFormat="1" ht="18.75">
      <c r="A25" s="25"/>
      <c r="B25" s="15">
        <v>75011</v>
      </c>
      <c r="C25" s="6"/>
      <c r="D25" s="15" t="s">
        <v>13</v>
      </c>
      <c r="E25" s="182">
        <f>SUM(E26:E27)</f>
        <v>91800</v>
      </c>
      <c r="F25" s="182">
        <f>SUM(F26:F27)</f>
        <v>49874.54</v>
      </c>
      <c r="G25" s="246">
        <f t="shared" si="3"/>
        <v>0.5432956427015251</v>
      </c>
      <c r="H25" s="182">
        <f>SUM(H26:H27)</f>
        <v>800</v>
      </c>
      <c r="I25" s="182">
        <f>SUM(I26:I27)</f>
        <v>556.54</v>
      </c>
      <c r="J25" s="72">
        <f>I25/H25</f>
        <v>0.6956749999999999</v>
      </c>
      <c r="K25" s="234"/>
      <c r="L25" s="234"/>
      <c r="M25" s="72"/>
      <c r="N25" s="234"/>
      <c r="O25" s="182"/>
      <c r="P25" s="26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</row>
    <row r="26" spans="1:169" s="39" customFormat="1" ht="76.5" customHeight="1">
      <c r="A26" s="25"/>
      <c r="B26" s="15"/>
      <c r="C26" s="168">
        <v>2010</v>
      </c>
      <c r="D26" s="147" t="s">
        <v>102</v>
      </c>
      <c r="E26" s="184">
        <v>91000</v>
      </c>
      <c r="F26" s="184">
        <v>49318</v>
      </c>
      <c r="G26" s="247">
        <f t="shared" si="3"/>
        <v>0.5419560439560439</v>
      </c>
      <c r="H26" s="185"/>
      <c r="I26" s="184"/>
      <c r="J26" s="73"/>
      <c r="K26" s="205">
        <v>91000</v>
      </c>
      <c r="L26" s="184">
        <v>49318</v>
      </c>
      <c r="M26" s="73">
        <f>L26/K26</f>
        <v>0.5419560439560439</v>
      </c>
      <c r="N26" s="205"/>
      <c r="O26" s="184"/>
      <c r="P26" s="10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</row>
    <row r="27" spans="1:16" ht="56.25">
      <c r="A27" s="25"/>
      <c r="B27" s="15"/>
      <c r="C27" s="168">
        <v>2360</v>
      </c>
      <c r="D27" s="147" t="s">
        <v>109</v>
      </c>
      <c r="E27" s="184">
        <v>800</v>
      </c>
      <c r="F27" s="184">
        <v>556.54</v>
      </c>
      <c r="G27" s="247">
        <f t="shared" si="3"/>
        <v>0.6956749999999999</v>
      </c>
      <c r="H27" s="185">
        <v>800</v>
      </c>
      <c r="I27" s="184">
        <v>556.54</v>
      </c>
      <c r="J27" s="73">
        <f>I27/H27</f>
        <v>0.6956749999999999</v>
      </c>
      <c r="K27" s="205"/>
      <c r="L27" s="185"/>
      <c r="M27" s="119"/>
      <c r="N27" s="205"/>
      <c r="O27" s="185"/>
      <c r="P27" s="142"/>
    </row>
    <row r="28" spans="1:16" ht="18.75">
      <c r="A28" s="19"/>
      <c r="B28" s="22">
        <v>75023</v>
      </c>
      <c r="C28" s="21"/>
      <c r="D28" s="22" t="s">
        <v>26</v>
      </c>
      <c r="E28" s="189">
        <f>SUM(E29:E30)</f>
        <v>1300</v>
      </c>
      <c r="F28" s="189">
        <f>SUM(F29:F30)</f>
        <v>802.5699999999999</v>
      </c>
      <c r="G28" s="78">
        <f t="shared" si="3"/>
        <v>0.6173615384615384</v>
      </c>
      <c r="H28" s="189">
        <f>SUM(H29:H30)</f>
        <v>1300</v>
      </c>
      <c r="I28" s="189">
        <f>SUM(I29:I30)</f>
        <v>802.5699999999999</v>
      </c>
      <c r="J28" s="79">
        <f>I28/H28</f>
        <v>0.6173615384615384</v>
      </c>
      <c r="K28" s="204"/>
      <c r="L28" s="204"/>
      <c r="M28" s="43"/>
      <c r="N28" s="204"/>
      <c r="O28" s="204"/>
      <c r="P28" s="27"/>
    </row>
    <row r="29" spans="1:16" ht="18.75">
      <c r="A29" s="19"/>
      <c r="B29" s="15"/>
      <c r="C29" s="6" t="str">
        <f>"0690"</f>
        <v>0690</v>
      </c>
      <c r="D29" s="9" t="s">
        <v>21</v>
      </c>
      <c r="E29" s="184">
        <v>300</v>
      </c>
      <c r="F29" s="184">
        <v>488.07</v>
      </c>
      <c r="G29" s="247">
        <f t="shared" si="3"/>
        <v>1.6269</v>
      </c>
      <c r="H29" s="185">
        <v>300</v>
      </c>
      <c r="I29" s="184">
        <v>488.07</v>
      </c>
      <c r="J29" s="73">
        <f>I29/H29</f>
        <v>1.6269</v>
      </c>
      <c r="K29" s="205"/>
      <c r="L29" s="184"/>
      <c r="M29" s="73"/>
      <c r="N29" s="205"/>
      <c r="O29" s="184"/>
      <c r="P29" s="10"/>
    </row>
    <row r="30" spans="1:16" ht="19.5" thickBot="1">
      <c r="A30" s="19"/>
      <c r="B30" s="15"/>
      <c r="C30" s="6" t="str">
        <f>"0830"</f>
        <v>0830</v>
      </c>
      <c r="D30" s="9" t="s">
        <v>6</v>
      </c>
      <c r="E30" s="184">
        <v>1000</v>
      </c>
      <c r="F30" s="184">
        <v>314.5</v>
      </c>
      <c r="G30" s="247">
        <f t="shared" si="3"/>
        <v>0.3145</v>
      </c>
      <c r="H30" s="185">
        <v>1000</v>
      </c>
      <c r="I30" s="184">
        <v>314.5</v>
      </c>
      <c r="J30" s="73">
        <f>I30/H30</f>
        <v>0.3145</v>
      </c>
      <c r="K30" s="205"/>
      <c r="L30" s="184"/>
      <c r="M30" s="73"/>
      <c r="N30" s="205"/>
      <c r="O30" s="184"/>
      <c r="P30" s="10"/>
    </row>
    <row r="31" spans="1:169" s="76" customFormat="1" ht="19.5" thickBot="1">
      <c r="A31" s="19"/>
      <c r="B31" s="22">
        <v>75075</v>
      </c>
      <c r="C31" s="21"/>
      <c r="D31" s="22" t="s">
        <v>95</v>
      </c>
      <c r="E31" s="189">
        <f>E32</f>
        <v>600</v>
      </c>
      <c r="F31" s="189">
        <f>F32</f>
        <v>0</v>
      </c>
      <c r="G31" s="78"/>
      <c r="H31" s="189">
        <f>H32</f>
        <v>600</v>
      </c>
      <c r="I31" s="189">
        <f>I32</f>
        <v>0</v>
      </c>
      <c r="J31" s="79"/>
      <c r="K31" s="204"/>
      <c r="L31" s="204"/>
      <c r="M31" s="43"/>
      <c r="N31" s="204"/>
      <c r="O31" s="204"/>
      <c r="P31" s="27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</row>
    <row r="32" spans="1:16" ht="19.5" thickBot="1">
      <c r="A32" s="19"/>
      <c r="B32" s="15"/>
      <c r="C32" s="6" t="str">
        <f>"0970"</f>
        <v>0970</v>
      </c>
      <c r="D32" s="9" t="s">
        <v>40</v>
      </c>
      <c r="E32" s="184">
        <v>600</v>
      </c>
      <c r="F32" s="184">
        <v>0</v>
      </c>
      <c r="G32" s="247">
        <f aca="true" t="shared" si="4" ref="G32:G37">F32/E32</f>
        <v>0</v>
      </c>
      <c r="H32" s="185">
        <v>600</v>
      </c>
      <c r="I32" s="184">
        <v>0</v>
      </c>
      <c r="J32" s="73">
        <f>I32/H32</f>
        <v>0</v>
      </c>
      <c r="K32" s="205"/>
      <c r="L32" s="185"/>
      <c r="M32" s="119"/>
      <c r="N32" s="205"/>
      <c r="O32" s="185"/>
      <c r="P32" s="142"/>
    </row>
    <row r="33" spans="1:169" s="76" customFormat="1" ht="19.5" thickBot="1">
      <c r="A33" s="19"/>
      <c r="B33" s="22">
        <v>75095</v>
      </c>
      <c r="C33" s="21"/>
      <c r="D33" s="22" t="s">
        <v>4</v>
      </c>
      <c r="E33" s="189">
        <f>E34</f>
        <v>2000</v>
      </c>
      <c r="F33" s="189">
        <f>F34</f>
        <v>727.75</v>
      </c>
      <c r="G33" s="78">
        <f t="shared" si="4"/>
        <v>0.363875</v>
      </c>
      <c r="H33" s="189">
        <f>H34</f>
        <v>2000</v>
      </c>
      <c r="I33" s="189">
        <f>I34</f>
        <v>727.75</v>
      </c>
      <c r="J33" s="79">
        <f>I33/H33</f>
        <v>0.363875</v>
      </c>
      <c r="K33" s="204"/>
      <c r="L33" s="204"/>
      <c r="M33" s="43"/>
      <c r="N33" s="204"/>
      <c r="O33" s="204"/>
      <c r="P33" s="27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</row>
    <row r="34" spans="1:16" ht="19.5" thickBot="1">
      <c r="A34" s="19"/>
      <c r="B34" s="15"/>
      <c r="C34" s="6" t="str">
        <f>"0830"</f>
        <v>0830</v>
      </c>
      <c r="D34" s="9" t="s">
        <v>6</v>
      </c>
      <c r="E34" s="184">
        <v>2000</v>
      </c>
      <c r="F34" s="184">
        <v>727.75</v>
      </c>
      <c r="G34" s="248">
        <f t="shared" si="4"/>
        <v>0.363875</v>
      </c>
      <c r="H34" s="185">
        <v>2000</v>
      </c>
      <c r="I34" s="184">
        <v>727.75</v>
      </c>
      <c r="J34" s="73">
        <f>I34/H34</f>
        <v>0.363875</v>
      </c>
      <c r="K34" s="205"/>
      <c r="L34" s="184"/>
      <c r="M34" s="73"/>
      <c r="N34" s="205"/>
      <c r="O34" s="184"/>
      <c r="P34" s="10"/>
    </row>
    <row r="35" spans="1:16" ht="38.25" thickBot="1">
      <c r="A35" s="166">
        <v>751</v>
      </c>
      <c r="B35" s="12"/>
      <c r="C35" s="12"/>
      <c r="D35" s="165" t="s">
        <v>110</v>
      </c>
      <c r="E35" s="186">
        <f>E36+E38</f>
        <v>4456</v>
      </c>
      <c r="F35" s="186">
        <f>F36+F38</f>
        <v>3964</v>
      </c>
      <c r="G35" s="245">
        <f t="shared" si="4"/>
        <v>0.8895870736086176</v>
      </c>
      <c r="H35" s="232"/>
      <c r="I35" s="233"/>
      <c r="J35" s="154"/>
      <c r="K35" s="192">
        <f>K36+K38</f>
        <v>4456</v>
      </c>
      <c r="L35" s="186">
        <f>L36+L38</f>
        <v>3964</v>
      </c>
      <c r="M35" s="74">
        <f>L35/K35</f>
        <v>0.8895870736086176</v>
      </c>
      <c r="N35" s="209"/>
      <c r="O35" s="186"/>
      <c r="P35" s="14"/>
    </row>
    <row r="36" spans="1:16" ht="37.5">
      <c r="A36" s="19"/>
      <c r="B36" s="169">
        <v>75101</v>
      </c>
      <c r="C36" s="15"/>
      <c r="D36" s="42" t="s">
        <v>111</v>
      </c>
      <c r="E36" s="182">
        <f>E37</f>
        <v>984</v>
      </c>
      <c r="F36" s="182">
        <f>F37</f>
        <v>492</v>
      </c>
      <c r="G36" s="246">
        <f t="shared" si="4"/>
        <v>0.5</v>
      </c>
      <c r="H36" s="183"/>
      <c r="I36" s="182"/>
      <c r="J36" s="85"/>
      <c r="K36" s="183">
        <f>K37</f>
        <v>984</v>
      </c>
      <c r="L36" s="182">
        <f>L37</f>
        <v>492</v>
      </c>
      <c r="M36" s="72">
        <f>L36/K36</f>
        <v>0.5</v>
      </c>
      <c r="N36" s="234"/>
      <c r="O36" s="182"/>
      <c r="P36" s="26"/>
    </row>
    <row r="37" spans="1:16" ht="73.5" customHeight="1">
      <c r="A37" s="19"/>
      <c r="B37" s="15"/>
      <c r="C37" s="169">
        <v>2010</v>
      </c>
      <c r="D37" s="147" t="s">
        <v>102</v>
      </c>
      <c r="E37" s="184">
        <v>984</v>
      </c>
      <c r="F37" s="184">
        <v>492</v>
      </c>
      <c r="G37" s="247">
        <f t="shared" si="4"/>
        <v>0.5</v>
      </c>
      <c r="H37" s="185"/>
      <c r="I37" s="184"/>
      <c r="J37" s="73"/>
      <c r="K37" s="205">
        <v>984</v>
      </c>
      <c r="L37" s="184">
        <v>492</v>
      </c>
      <c r="M37" s="73">
        <f>L37/K37</f>
        <v>0.5</v>
      </c>
      <c r="N37" s="205"/>
      <c r="O37" s="184"/>
      <c r="P37" s="10"/>
    </row>
    <row r="38" spans="1:16" ht="75">
      <c r="A38" s="19"/>
      <c r="B38" s="170">
        <v>75109</v>
      </c>
      <c r="C38" s="170"/>
      <c r="D38" s="148" t="s">
        <v>159</v>
      </c>
      <c r="E38" s="189">
        <f>E39</f>
        <v>3472</v>
      </c>
      <c r="F38" s="189">
        <f>F39</f>
        <v>3472</v>
      </c>
      <c r="G38" s="78">
        <f>F38/E38</f>
        <v>1</v>
      </c>
      <c r="H38" s="216"/>
      <c r="I38" s="223"/>
      <c r="J38" s="140"/>
      <c r="K38" s="187">
        <f>K39</f>
        <v>3472</v>
      </c>
      <c r="L38" s="235">
        <f>L39</f>
        <v>3472</v>
      </c>
      <c r="M38" s="92">
        <f>L38/K38</f>
        <v>1</v>
      </c>
      <c r="N38" s="222"/>
      <c r="O38" s="221"/>
      <c r="P38" s="149"/>
    </row>
    <row r="39" spans="1:16" ht="83.25" customHeight="1" thickBot="1">
      <c r="A39" s="19"/>
      <c r="B39" s="15"/>
      <c r="C39" s="169">
        <v>2010</v>
      </c>
      <c r="D39" s="147" t="s">
        <v>102</v>
      </c>
      <c r="E39" s="184">
        <v>3472</v>
      </c>
      <c r="F39" s="184">
        <v>3472</v>
      </c>
      <c r="G39" s="248">
        <f>F39/E39</f>
        <v>1</v>
      </c>
      <c r="H39" s="185"/>
      <c r="I39" s="184"/>
      <c r="J39" s="151"/>
      <c r="K39" s="185">
        <v>3472</v>
      </c>
      <c r="L39" s="194">
        <v>3472</v>
      </c>
      <c r="M39" s="73">
        <f>L39/K39</f>
        <v>1</v>
      </c>
      <c r="N39" s="205"/>
      <c r="O39" s="194"/>
      <c r="P39" s="49"/>
    </row>
    <row r="40" spans="1:16" ht="38.25" thickBot="1">
      <c r="A40" s="171">
        <v>754</v>
      </c>
      <c r="B40" s="12"/>
      <c r="C40" s="13"/>
      <c r="D40" s="227" t="s">
        <v>131</v>
      </c>
      <c r="E40" s="186">
        <f>E41</f>
        <v>6500</v>
      </c>
      <c r="F40" s="186">
        <f>F41</f>
        <v>6500</v>
      </c>
      <c r="G40" s="245">
        <f>F40/E40</f>
        <v>1</v>
      </c>
      <c r="H40" s="192">
        <f>H41</f>
        <v>6500</v>
      </c>
      <c r="I40" s="186">
        <f>I41</f>
        <v>6500</v>
      </c>
      <c r="J40" s="84">
        <f>I40/H40</f>
        <v>1</v>
      </c>
      <c r="K40" s="192"/>
      <c r="L40" s="186"/>
      <c r="M40" s="84"/>
      <c r="N40" s="209"/>
      <c r="O40" s="186"/>
      <c r="P40" s="81"/>
    </row>
    <row r="41" spans="1:16" ht="18.75">
      <c r="A41" s="19"/>
      <c r="B41" s="15">
        <v>75414</v>
      </c>
      <c r="C41" s="6"/>
      <c r="D41" s="15" t="s">
        <v>147</v>
      </c>
      <c r="E41" s="182">
        <f>E42</f>
        <v>6500</v>
      </c>
      <c r="F41" s="182">
        <f>F42</f>
        <v>6500</v>
      </c>
      <c r="G41" s="246">
        <f>F41/E41</f>
        <v>1</v>
      </c>
      <c r="H41" s="183">
        <f>H42</f>
        <v>6500</v>
      </c>
      <c r="I41" s="182">
        <f>I42</f>
        <v>6500</v>
      </c>
      <c r="J41" s="72">
        <f>I41/H41</f>
        <v>1</v>
      </c>
      <c r="K41" s="234"/>
      <c r="L41" s="234"/>
      <c r="M41" s="72"/>
      <c r="N41" s="234"/>
      <c r="O41" s="182"/>
      <c r="P41" s="26"/>
    </row>
    <row r="42" spans="1:16" ht="39" customHeight="1" thickBot="1">
      <c r="A42" s="19"/>
      <c r="B42" s="15"/>
      <c r="C42" s="169">
        <v>2030</v>
      </c>
      <c r="D42" s="147" t="s">
        <v>103</v>
      </c>
      <c r="E42" s="184">
        <v>6500</v>
      </c>
      <c r="F42" s="184">
        <v>6500</v>
      </c>
      <c r="G42" s="247">
        <f>F42/E42</f>
        <v>1</v>
      </c>
      <c r="H42" s="185">
        <v>6500</v>
      </c>
      <c r="I42" s="184">
        <v>6500</v>
      </c>
      <c r="J42" s="73">
        <f>I42/H42</f>
        <v>1</v>
      </c>
      <c r="K42" s="205"/>
      <c r="L42" s="184"/>
      <c r="M42" s="73"/>
      <c r="N42" s="205"/>
      <c r="O42" s="184"/>
      <c r="P42" s="10"/>
    </row>
    <row r="43" spans="1:16" ht="88.5" customHeight="1" thickBot="1">
      <c r="A43" s="171">
        <v>756</v>
      </c>
      <c r="B43" s="12"/>
      <c r="C43" s="13"/>
      <c r="D43" s="165" t="s">
        <v>112</v>
      </c>
      <c r="E43" s="186">
        <f>E44+E47+E54+E64+E70</f>
        <v>3512487</v>
      </c>
      <c r="F43" s="186">
        <f>F44+F47+F54+F64+F70</f>
        <v>1583796.3100000003</v>
      </c>
      <c r="G43" s="245">
        <f>$F:$F/$E:$E</f>
        <v>0.450904532885104</v>
      </c>
      <c r="H43" s="186">
        <f>H44+H47+H54+H64+H70</f>
        <v>3512487</v>
      </c>
      <c r="I43" s="186">
        <f>I44+I47+I54+I64+I70</f>
        <v>1583796.3100000003</v>
      </c>
      <c r="J43" s="74">
        <f>I43/H43</f>
        <v>0.450904532885104</v>
      </c>
      <c r="K43" s="209"/>
      <c r="L43" s="233"/>
      <c r="M43" s="80"/>
      <c r="N43" s="209"/>
      <c r="O43" s="233"/>
      <c r="P43" s="81"/>
    </row>
    <row r="44" spans="1:16" ht="18.75">
      <c r="A44" s="19"/>
      <c r="B44" s="15">
        <v>75601</v>
      </c>
      <c r="C44" s="6"/>
      <c r="D44" s="15" t="s">
        <v>113</v>
      </c>
      <c r="E44" s="182">
        <f>E45+E46</f>
        <v>3900</v>
      </c>
      <c r="F44" s="182">
        <f>F45+F46</f>
        <v>1760.51</v>
      </c>
      <c r="G44" s="246">
        <f>F44/E44</f>
        <v>0.4514128205128205</v>
      </c>
      <c r="H44" s="182">
        <f>H45+H46</f>
        <v>3900</v>
      </c>
      <c r="I44" s="182">
        <f>I45+I46</f>
        <v>1760.51</v>
      </c>
      <c r="J44" s="72">
        <f>I45/H45</f>
        <v>0.5030028571428571</v>
      </c>
      <c r="K44" s="234"/>
      <c r="L44" s="182"/>
      <c r="M44" s="53"/>
      <c r="N44" s="234"/>
      <c r="O44" s="182"/>
      <c r="P44" s="15"/>
    </row>
    <row r="45" spans="1:16" ht="37.5">
      <c r="A45" s="19"/>
      <c r="B45" s="15"/>
      <c r="C45" s="168" t="str">
        <f>"0350"</f>
        <v>0350</v>
      </c>
      <c r="D45" s="147" t="s">
        <v>114</v>
      </c>
      <c r="E45" s="184">
        <v>3500</v>
      </c>
      <c r="F45" s="184">
        <v>1760.51</v>
      </c>
      <c r="G45" s="247">
        <f>F45/E45</f>
        <v>0.5030028571428571</v>
      </c>
      <c r="H45" s="185">
        <v>3500</v>
      </c>
      <c r="I45" s="184">
        <v>1760.51</v>
      </c>
      <c r="J45" s="73">
        <f>I45/H45</f>
        <v>0.5030028571428571</v>
      </c>
      <c r="K45" s="205"/>
      <c r="L45" s="184"/>
      <c r="M45" s="87"/>
      <c r="N45" s="205"/>
      <c r="O45" s="184"/>
      <c r="P45" s="9"/>
    </row>
    <row r="46" spans="1:16" ht="37.5">
      <c r="A46" s="19"/>
      <c r="B46" s="15"/>
      <c r="C46" s="168" t="str">
        <f>"0910"</f>
        <v>0910</v>
      </c>
      <c r="D46" s="147" t="s">
        <v>115</v>
      </c>
      <c r="E46" s="184">
        <v>400</v>
      </c>
      <c r="F46" s="184">
        <v>0</v>
      </c>
      <c r="G46" s="247">
        <f>F46/E46</f>
        <v>0</v>
      </c>
      <c r="H46" s="185">
        <v>400</v>
      </c>
      <c r="I46" s="184">
        <v>0</v>
      </c>
      <c r="J46" s="73">
        <f>I46/H46</f>
        <v>0</v>
      </c>
      <c r="K46" s="205"/>
      <c r="L46" s="184"/>
      <c r="M46" s="87"/>
      <c r="N46" s="205"/>
      <c r="O46" s="184"/>
      <c r="P46" s="9"/>
    </row>
    <row r="47" spans="1:16" ht="75">
      <c r="A47" s="19"/>
      <c r="B47" s="170">
        <v>75615</v>
      </c>
      <c r="C47" s="21"/>
      <c r="D47" s="148" t="s">
        <v>116</v>
      </c>
      <c r="E47" s="189">
        <f>SUM(E48:E53)</f>
        <v>1041000</v>
      </c>
      <c r="F47" s="189">
        <f>SUM(F48:F53)</f>
        <v>484266.3900000001</v>
      </c>
      <c r="G47" s="78">
        <f>F47/E47</f>
        <v>0.4651934582132565</v>
      </c>
      <c r="H47" s="189">
        <f>SUM(H48:H53)</f>
        <v>1041000</v>
      </c>
      <c r="I47" s="189">
        <f>SUM(I48:I53)</f>
        <v>484266.3900000001</v>
      </c>
      <c r="J47" s="79">
        <f>I47/H47</f>
        <v>0.4651934582132565</v>
      </c>
      <c r="K47" s="204"/>
      <c r="L47" s="189"/>
      <c r="M47" s="79"/>
      <c r="N47" s="204"/>
      <c r="O47" s="189"/>
      <c r="P47" s="23"/>
    </row>
    <row r="48" spans="1:16" ht="18.75">
      <c r="A48" s="19"/>
      <c r="B48" s="15"/>
      <c r="C48" s="6" t="str">
        <f>"0310"</f>
        <v>0310</v>
      </c>
      <c r="D48" s="9" t="s">
        <v>10</v>
      </c>
      <c r="E48" s="184">
        <v>712000</v>
      </c>
      <c r="F48" s="184">
        <v>306957.29</v>
      </c>
      <c r="G48" s="247">
        <f aca="true" t="shared" si="5" ref="G48:G53">F48/E48</f>
        <v>0.43111978932584266</v>
      </c>
      <c r="H48" s="185">
        <v>712000</v>
      </c>
      <c r="I48" s="184">
        <v>306957.29</v>
      </c>
      <c r="J48" s="73">
        <f aca="true" t="shared" si="6" ref="J48:J53">I48/H48</f>
        <v>0.43111978932584266</v>
      </c>
      <c r="K48" s="205"/>
      <c r="L48" s="184"/>
      <c r="M48" s="87"/>
      <c r="N48" s="205"/>
      <c r="O48" s="184"/>
      <c r="P48" s="9"/>
    </row>
    <row r="49" spans="1:16" ht="18.75">
      <c r="A49" s="19"/>
      <c r="B49" s="15"/>
      <c r="C49" s="6" t="str">
        <f>"0320"</f>
        <v>0320</v>
      </c>
      <c r="D49" s="9" t="s">
        <v>8</v>
      </c>
      <c r="E49" s="184">
        <v>170000</v>
      </c>
      <c r="F49" s="184">
        <v>88926.09</v>
      </c>
      <c r="G49" s="247">
        <f t="shared" si="5"/>
        <v>0.5230946470588235</v>
      </c>
      <c r="H49" s="185">
        <v>170000</v>
      </c>
      <c r="I49" s="184">
        <v>88926.09</v>
      </c>
      <c r="J49" s="73">
        <f t="shared" si="6"/>
        <v>0.5230946470588235</v>
      </c>
      <c r="K49" s="205"/>
      <c r="L49" s="184"/>
      <c r="M49" s="73"/>
      <c r="N49" s="205"/>
      <c r="O49" s="184"/>
      <c r="P49" s="10"/>
    </row>
    <row r="50" spans="1:16" ht="18.75">
      <c r="A50" s="19"/>
      <c r="B50" s="15"/>
      <c r="C50" s="6" t="str">
        <f>"0330"</f>
        <v>0330</v>
      </c>
      <c r="D50" s="9" t="s">
        <v>9</v>
      </c>
      <c r="E50" s="184">
        <v>150000</v>
      </c>
      <c r="F50" s="184">
        <v>85735.52</v>
      </c>
      <c r="G50" s="247">
        <f t="shared" si="5"/>
        <v>0.5715701333333334</v>
      </c>
      <c r="H50" s="185">
        <v>150000</v>
      </c>
      <c r="I50" s="184">
        <v>85735.52</v>
      </c>
      <c r="J50" s="73">
        <f t="shared" si="6"/>
        <v>0.5715701333333334</v>
      </c>
      <c r="K50" s="205"/>
      <c r="L50" s="184"/>
      <c r="M50" s="73"/>
      <c r="N50" s="205"/>
      <c r="O50" s="184"/>
      <c r="P50" s="10"/>
    </row>
    <row r="51" spans="1:16" ht="18.75">
      <c r="A51" s="19"/>
      <c r="B51" s="15"/>
      <c r="C51" s="6" t="str">
        <f>"0340"</f>
        <v>0340</v>
      </c>
      <c r="D51" s="9" t="s">
        <v>117</v>
      </c>
      <c r="E51" s="184">
        <v>7000</v>
      </c>
      <c r="F51" s="184">
        <v>1982.83</v>
      </c>
      <c r="G51" s="247">
        <f t="shared" si="5"/>
        <v>0.28326142857142855</v>
      </c>
      <c r="H51" s="185">
        <v>7000</v>
      </c>
      <c r="I51" s="184">
        <v>1982.83</v>
      </c>
      <c r="J51" s="73">
        <f t="shared" si="6"/>
        <v>0.28326142857142855</v>
      </c>
      <c r="K51" s="205"/>
      <c r="L51" s="184"/>
      <c r="M51" s="73"/>
      <c r="N51" s="205"/>
      <c r="O51" s="184"/>
      <c r="P51" s="10"/>
    </row>
    <row r="52" spans="1:16" ht="19.5" thickBot="1">
      <c r="A52" s="19"/>
      <c r="B52" s="15"/>
      <c r="C52" s="6" t="str">
        <f>"0500"</f>
        <v>0500</v>
      </c>
      <c r="D52" s="9" t="s">
        <v>27</v>
      </c>
      <c r="E52" s="184">
        <v>1000</v>
      </c>
      <c r="F52" s="184">
        <v>0.2</v>
      </c>
      <c r="G52" s="247">
        <f t="shared" si="5"/>
        <v>0.0002</v>
      </c>
      <c r="H52" s="185">
        <v>1000</v>
      </c>
      <c r="I52" s="184">
        <v>0.2</v>
      </c>
      <c r="J52" s="73">
        <f t="shared" si="6"/>
        <v>0.0002</v>
      </c>
      <c r="K52" s="205"/>
      <c r="L52" s="184"/>
      <c r="M52" s="73"/>
      <c r="N52" s="205"/>
      <c r="O52" s="184"/>
      <c r="P52" s="10"/>
    </row>
    <row r="53" spans="1:169" s="76" customFormat="1" ht="38.25" thickBot="1">
      <c r="A53" s="19"/>
      <c r="B53" s="15"/>
      <c r="C53" s="168" t="str">
        <f>"0910"</f>
        <v>0910</v>
      </c>
      <c r="D53" s="147" t="s">
        <v>115</v>
      </c>
      <c r="E53" s="184">
        <v>1000</v>
      </c>
      <c r="F53" s="184">
        <v>664.46</v>
      </c>
      <c r="G53" s="247">
        <f t="shared" si="5"/>
        <v>0.66446</v>
      </c>
      <c r="H53" s="185">
        <v>1000</v>
      </c>
      <c r="I53" s="184">
        <v>664.46</v>
      </c>
      <c r="J53" s="73">
        <f t="shared" si="6"/>
        <v>0.66446</v>
      </c>
      <c r="K53" s="205"/>
      <c r="L53" s="184"/>
      <c r="M53" s="73"/>
      <c r="N53" s="205"/>
      <c r="O53" s="184"/>
      <c r="P53" s="10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</row>
    <row r="54" spans="1:16" ht="75">
      <c r="A54" s="19"/>
      <c r="B54" s="170">
        <v>75616</v>
      </c>
      <c r="C54" s="21"/>
      <c r="D54" s="148" t="s">
        <v>140</v>
      </c>
      <c r="E54" s="189">
        <f>SUM(E55:E63)</f>
        <v>954500</v>
      </c>
      <c r="F54" s="189">
        <f>SUM(F55:F63)</f>
        <v>401444.28</v>
      </c>
      <c r="G54" s="78">
        <f>F54/E54</f>
        <v>0.4205807019381876</v>
      </c>
      <c r="H54" s="189">
        <f>SUM(H55:H63)</f>
        <v>954500</v>
      </c>
      <c r="I54" s="189">
        <f>SUM(I55:I63)</f>
        <v>401444.28</v>
      </c>
      <c r="J54" s="79">
        <f>I54/H54</f>
        <v>0.4205807019381876</v>
      </c>
      <c r="K54" s="204"/>
      <c r="L54" s="189"/>
      <c r="M54" s="79"/>
      <c r="N54" s="204"/>
      <c r="O54" s="189"/>
      <c r="P54" s="23"/>
    </row>
    <row r="55" spans="1:169" s="68" customFormat="1" ht="18.75">
      <c r="A55" s="19"/>
      <c r="B55" s="15"/>
      <c r="C55" s="6" t="str">
        <f>"0310"</f>
        <v>0310</v>
      </c>
      <c r="D55" s="9" t="s">
        <v>10</v>
      </c>
      <c r="E55" s="184">
        <v>606000</v>
      </c>
      <c r="F55" s="184">
        <v>228564.67</v>
      </c>
      <c r="G55" s="247">
        <f aca="true" t="shared" si="7" ref="G55:G63">F55/E55</f>
        <v>0.3771694224422443</v>
      </c>
      <c r="H55" s="185">
        <v>606000</v>
      </c>
      <c r="I55" s="184">
        <v>228564.67</v>
      </c>
      <c r="J55" s="73">
        <f aca="true" t="shared" si="8" ref="J55:J63">I55/H55</f>
        <v>0.3771694224422443</v>
      </c>
      <c r="K55" s="205"/>
      <c r="L55" s="185"/>
      <c r="M55" s="119"/>
      <c r="N55" s="205"/>
      <c r="O55" s="185"/>
      <c r="P55" s="142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</row>
    <row r="56" spans="1:169" s="68" customFormat="1" ht="18.75">
      <c r="A56" s="19"/>
      <c r="B56" s="15"/>
      <c r="C56" s="6" t="str">
        <f>"0320"</f>
        <v>0320</v>
      </c>
      <c r="D56" s="9" t="s">
        <v>8</v>
      </c>
      <c r="E56" s="184">
        <v>240000</v>
      </c>
      <c r="F56" s="184">
        <v>118980.36</v>
      </c>
      <c r="G56" s="247">
        <f t="shared" si="7"/>
        <v>0.4957515</v>
      </c>
      <c r="H56" s="185">
        <v>240000</v>
      </c>
      <c r="I56" s="184">
        <v>118980.36</v>
      </c>
      <c r="J56" s="73">
        <f t="shared" si="8"/>
        <v>0.4957515</v>
      </c>
      <c r="K56" s="205"/>
      <c r="L56" s="185"/>
      <c r="M56" s="119"/>
      <c r="N56" s="205"/>
      <c r="O56" s="185"/>
      <c r="P56" s="142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</row>
    <row r="57" spans="1:169" s="68" customFormat="1" ht="18.75">
      <c r="A57" s="19"/>
      <c r="B57" s="15"/>
      <c r="C57" s="6" t="str">
        <f>"0330"</f>
        <v>0330</v>
      </c>
      <c r="D57" s="9" t="s">
        <v>9</v>
      </c>
      <c r="E57" s="184">
        <v>1500</v>
      </c>
      <c r="F57" s="184">
        <v>823.37</v>
      </c>
      <c r="G57" s="247">
        <f t="shared" si="7"/>
        <v>0.5489133333333334</v>
      </c>
      <c r="H57" s="185">
        <v>1500</v>
      </c>
      <c r="I57" s="184">
        <v>823.37</v>
      </c>
      <c r="J57" s="73">
        <f t="shared" si="8"/>
        <v>0.5489133333333334</v>
      </c>
      <c r="K57" s="205"/>
      <c r="L57" s="185"/>
      <c r="M57" s="119"/>
      <c r="N57" s="205"/>
      <c r="O57" s="185"/>
      <c r="P57" s="142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</row>
    <row r="58" spans="1:169" s="68" customFormat="1" ht="18.75">
      <c r="A58" s="19"/>
      <c r="B58" s="15"/>
      <c r="C58" s="6" t="str">
        <f>"0340"</f>
        <v>0340</v>
      </c>
      <c r="D58" s="9" t="s">
        <v>117</v>
      </c>
      <c r="E58" s="184">
        <v>31000</v>
      </c>
      <c r="F58" s="184">
        <v>21810.6</v>
      </c>
      <c r="G58" s="247">
        <f t="shared" si="7"/>
        <v>0.7035677419354838</v>
      </c>
      <c r="H58" s="185">
        <v>31000</v>
      </c>
      <c r="I58" s="184">
        <v>21810.6</v>
      </c>
      <c r="J58" s="73">
        <f t="shared" si="8"/>
        <v>0.7035677419354838</v>
      </c>
      <c r="K58" s="205"/>
      <c r="L58" s="185"/>
      <c r="M58" s="119"/>
      <c r="N58" s="205"/>
      <c r="O58" s="185"/>
      <c r="P58" s="142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</row>
    <row r="59" spans="1:169" s="68" customFormat="1" ht="18.75">
      <c r="A59" s="19"/>
      <c r="B59" s="15"/>
      <c r="C59" s="6" t="str">
        <f>"0360"</f>
        <v>0360</v>
      </c>
      <c r="D59" s="9" t="s">
        <v>28</v>
      </c>
      <c r="E59" s="184">
        <v>7000</v>
      </c>
      <c r="F59" s="184">
        <v>0</v>
      </c>
      <c r="G59" s="247">
        <f t="shared" si="7"/>
        <v>0</v>
      </c>
      <c r="H59" s="185">
        <v>7000</v>
      </c>
      <c r="I59" s="184">
        <v>0</v>
      </c>
      <c r="J59" s="73">
        <f t="shared" si="8"/>
        <v>0</v>
      </c>
      <c r="K59" s="205"/>
      <c r="L59" s="185"/>
      <c r="M59" s="119"/>
      <c r="N59" s="205"/>
      <c r="O59" s="185"/>
      <c r="P59" s="142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</row>
    <row r="60" spans="1:169" s="68" customFormat="1" ht="18.75">
      <c r="A60" s="19"/>
      <c r="B60" s="15"/>
      <c r="C60" s="6" t="str">
        <f>"0370"</f>
        <v>0370</v>
      </c>
      <c r="D60" s="9" t="s">
        <v>11</v>
      </c>
      <c r="E60" s="184">
        <v>1000</v>
      </c>
      <c r="F60" s="184">
        <v>493</v>
      </c>
      <c r="G60" s="247">
        <f t="shared" si="7"/>
        <v>0.493</v>
      </c>
      <c r="H60" s="185">
        <v>1000</v>
      </c>
      <c r="I60" s="184">
        <v>493</v>
      </c>
      <c r="J60" s="73">
        <f t="shared" si="8"/>
        <v>0.493</v>
      </c>
      <c r="K60" s="205"/>
      <c r="L60" s="185"/>
      <c r="M60" s="119"/>
      <c r="N60" s="205"/>
      <c r="O60" s="185"/>
      <c r="P60" s="142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</row>
    <row r="61" spans="1:169" s="68" customFormat="1" ht="18.75">
      <c r="A61" s="19"/>
      <c r="B61" s="15"/>
      <c r="C61" s="6" t="str">
        <f>"0430"</f>
        <v>0430</v>
      </c>
      <c r="D61" s="9" t="s">
        <v>29</v>
      </c>
      <c r="E61" s="184">
        <v>6000</v>
      </c>
      <c r="F61" s="184">
        <v>2898</v>
      </c>
      <c r="G61" s="247">
        <f t="shared" si="7"/>
        <v>0.483</v>
      </c>
      <c r="H61" s="185">
        <v>6000</v>
      </c>
      <c r="I61" s="184">
        <v>2898</v>
      </c>
      <c r="J61" s="73">
        <f t="shared" si="8"/>
        <v>0.483</v>
      </c>
      <c r="K61" s="205"/>
      <c r="L61" s="185"/>
      <c r="M61" s="119"/>
      <c r="N61" s="205"/>
      <c r="O61" s="185"/>
      <c r="P61" s="142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</row>
    <row r="62" spans="1:169" s="68" customFormat="1" ht="18.75">
      <c r="A62" s="19"/>
      <c r="B62" s="15"/>
      <c r="C62" s="6" t="str">
        <f>"0500"</f>
        <v>0500</v>
      </c>
      <c r="D62" s="9" t="s">
        <v>27</v>
      </c>
      <c r="E62" s="184">
        <v>50000</v>
      </c>
      <c r="F62" s="184">
        <v>21556.53</v>
      </c>
      <c r="G62" s="247">
        <f t="shared" si="7"/>
        <v>0.4311306</v>
      </c>
      <c r="H62" s="185">
        <v>50000</v>
      </c>
      <c r="I62" s="184">
        <v>21556.53</v>
      </c>
      <c r="J62" s="73">
        <f t="shared" si="8"/>
        <v>0.4311306</v>
      </c>
      <c r="K62" s="205"/>
      <c r="L62" s="185"/>
      <c r="M62" s="119"/>
      <c r="N62" s="205"/>
      <c r="O62" s="185"/>
      <c r="P62" s="14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</row>
    <row r="63" spans="1:169" s="68" customFormat="1" ht="37.5">
      <c r="A63" s="19"/>
      <c r="B63" s="15"/>
      <c r="C63" s="168" t="str">
        <f>"0910"</f>
        <v>0910</v>
      </c>
      <c r="D63" s="147" t="s">
        <v>115</v>
      </c>
      <c r="E63" s="184">
        <v>12000</v>
      </c>
      <c r="F63" s="184">
        <v>6317.75</v>
      </c>
      <c r="G63" s="247">
        <f t="shared" si="7"/>
        <v>0.5264791666666667</v>
      </c>
      <c r="H63" s="185">
        <v>12000</v>
      </c>
      <c r="I63" s="184">
        <v>6317.75</v>
      </c>
      <c r="J63" s="73">
        <f t="shared" si="8"/>
        <v>0.5264791666666667</v>
      </c>
      <c r="K63" s="205"/>
      <c r="L63" s="185"/>
      <c r="M63" s="119"/>
      <c r="N63" s="205"/>
      <c r="O63" s="185"/>
      <c r="P63" s="142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</row>
    <row r="64" spans="1:169" s="50" customFormat="1" ht="37.5">
      <c r="A64" s="19"/>
      <c r="B64" s="170">
        <v>75618</v>
      </c>
      <c r="C64" s="21"/>
      <c r="D64" s="148" t="s">
        <v>118</v>
      </c>
      <c r="E64" s="189">
        <f>SUM(E65:E69)</f>
        <v>132400</v>
      </c>
      <c r="F64" s="189">
        <f>SUM(F65:F69)</f>
        <v>81710.32</v>
      </c>
      <c r="G64" s="78">
        <f aca="true" t="shared" si="9" ref="G64:G70">F64/E64</f>
        <v>0.6171474320241692</v>
      </c>
      <c r="H64" s="189">
        <f>SUM(H65:H69)</f>
        <v>132400</v>
      </c>
      <c r="I64" s="189">
        <f>SUM(I65:I69)</f>
        <v>81710.32</v>
      </c>
      <c r="J64" s="79">
        <f aca="true" t="shared" si="10" ref="J64:J70">I64/H64</f>
        <v>0.6171474320241692</v>
      </c>
      <c r="K64" s="204"/>
      <c r="L64" s="204"/>
      <c r="M64" s="43"/>
      <c r="N64" s="204"/>
      <c r="O64" s="204"/>
      <c r="P64" s="27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</row>
    <row r="65" spans="1:16" ht="18.75">
      <c r="A65" s="19"/>
      <c r="B65" s="15"/>
      <c r="C65" s="6" t="str">
        <f>"0410"</f>
        <v>0410</v>
      </c>
      <c r="D65" s="9" t="s">
        <v>12</v>
      </c>
      <c r="E65" s="184">
        <v>22200</v>
      </c>
      <c r="F65" s="184">
        <v>9638.3</v>
      </c>
      <c r="G65" s="247">
        <f t="shared" si="9"/>
        <v>0.4341576576576576</v>
      </c>
      <c r="H65" s="185">
        <v>22200</v>
      </c>
      <c r="I65" s="184">
        <v>9638.3</v>
      </c>
      <c r="J65" s="73">
        <f t="shared" si="10"/>
        <v>0.4341576576576576</v>
      </c>
      <c r="K65" s="205"/>
      <c r="L65" s="184"/>
      <c r="M65" s="73"/>
      <c r="N65" s="205"/>
      <c r="O65" s="184"/>
      <c r="P65" s="10"/>
    </row>
    <row r="66" spans="1:16" ht="18.75">
      <c r="A66" s="19"/>
      <c r="B66" s="15"/>
      <c r="C66" s="6" t="str">
        <f>"0460"</f>
        <v>0460</v>
      </c>
      <c r="D66" s="9" t="s">
        <v>32</v>
      </c>
      <c r="E66" s="184">
        <v>24000</v>
      </c>
      <c r="F66" s="184">
        <v>15768</v>
      </c>
      <c r="G66" s="247">
        <f t="shared" si="9"/>
        <v>0.657</v>
      </c>
      <c r="H66" s="185">
        <v>24000</v>
      </c>
      <c r="I66" s="184">
        <v>15768</v>
      </c>
      <c r="J66" s="73">
        <f t="shared" si="10"/>
        <v>0.657</v>
      </c>
      <c r="K66" s="205"/>
      <c r="L66" s="184"/>
      <c r="M66" s="73"/>
      <c r="N66" s="205"/>
      <c r="O66" s="184"/>
      <c r="P66" s="10"/>
    </row>
    <row r="67" spans="1:16" ht="37.5">
      <c r="A67" s="19"/>
      <c r="B67" s="15"/>
      <c r="C67" s="168" t="str">
        <f>"0480"</f>
        <v>0480</v>
      </c>
      <c r="D67" s="147" t="s">
        <v>160</v>
      </c>
      <c r="E67" s="184">
        <v>70000</v>
      </c>
      <c r="F67" s="184">
        <v>51193.5</v>
      </c>
      <c r="G67" s="247">
        <f t="shared" si="9"/>
        <v>0.7313357142857143</v>
      </c>
      <c r="H67" s="185">
        <v>70000</v>
      </c>
      <c r="I67" s="184">
        <v>51193.5</v>
      </c>
      <c r="J67" s="73">
        <f t="shared" si="10"/>
        <v>0.7313357142857143</v>
      </c>
      <c r="K67" s="205"/>
      <c r="L67" s="184"/>
      <c r="M67" s="73"/>
      <c r="N67" s="205"/>
      <c r="O67" s="184"/>
      <c r="P67" s="10"/>
    </row>
    <row r="68" spans="1:16" ht="18.75">
      <c r="A68" s="19"/>
      <c r="B68" s="15"/>
      <c r="C68" s="6" t="str">
        <f>"0690"</f>
        <v>0690</v>
      </c>
      <c r="D68" s="9" t="s">
        <v>21</v>
      </c>
      <c r="E68" s="184">
        <v>16000</v>
      </c>
      <c r="F68" s="184">
        <v>4946.52</v>
      </c>
      <c r="G68" s="247">
        <f>F68/E68</f>
        <v>0.30915750000000003</v>
      </c>
      <c r="H68" s="185">
        <v>16000</v>
      </c>
      <c r="I68" s="184">
        <v>4946.52</v>
      </c>
      <c r="J68" s="73">
        <f>I68/H68</f>
        <v>0.30915750000000003</v>
      </c>
      <c r="K68" s="205"/>
      <c r="L68" s="184"/>
      <c r="M68" s="73"/>
      <c r="N68" s="205"/>
      <c r="O68" s="184"/>
      <c r="P68" s="10"/>
    </row>
    <row r="69" spans="1:16" ht="37.5">
      <c r="A69" s="19"/>
      <c r="B69" s="15"/>
      <c r="C69" s="168" t="str">
        <f>"0910"</f>
        <v>0910</v>
      </c>
      <c r="D69" s="147" t="s">
        <v>115</v>
      </c>
      <c r="E69" s="184">
        <v>200</v>
      </c>
      <c r="F69" s="184">
        <v>164</v>
      </c>
      <c r="G69" s="247">
        <f t="shared" si="9"/>
        <v>0.82</v>
      </c>
      <c r="H69" s="185">
        <v>200</v>
      </c>
      <c r="I69" s="184">
        <v>164</v>
      </c>
      <c r="J69" s="73">
        <f t="shared" si="10"/>
        <v>0.82</v>
      </c>
      <c r="K69" s="205"/>
      <c r="L69" s="184"/>
      <c r="M69" s="73"/>
      <c r="N69" s="205"/>
      <c r="O69" s="184"/>
      <c r="P69" s="10"/>
    </row>
    <row r="70" spans="1:16" ht="37.5">
      <c r="A70" s="19"/>
      <c r="B70" s="170">
        <v>75621</v>
      </c>
      <c r="C70" s="21"/>
      <c r="D70" s="148" t="s">
        <v>119</v>
      </c>
      <c r="E70" s="189">
        <f>SUM(E71:E72)</f>
        <v>1380687</v>
      </c>
      <c r="F70" s="189">
        <f>SUM(F71:F72)</f>
        <v>614614.81</v>
      </c>
      <c r="G70" s="78">
        <f t="shared" si="9"/>
        <v>0.44515144272380347</v>
      </c>
      <c r="H70" s="189">
        <f>SUM(H71:H72)</f>
        <v>1380687</v>
      </c>
      <c r="I70" s="189">
        <f>SUM(I71:I72)</f>
        <v>614614.81</v>
      </c>
      <c r="J70" s="79">
        <f t="shared" si="10"/>
        <v>0.44515144272380347</v>
      </c>
      <c r="K70" s="204"/>
      <c r="L70" s="189"/>
      <c r="M70" s="86"/>
      <c r="N70" s="204"/>
      <c r="O70" s="189"/>
      <c r="P70" s="22"/>
    </row>
    <row r="71" spans="1:16" ht="18.75">
      <c r="A71" s="19"/>
      <c r="B71" s="15"/>
      <c r="C71" s="6" t="str">
        <f>"0010"</f>
        <v>0010</v>
      </c>
      <c r="D71" s="9" t="s">
        <v>154</v>
      </c>
      <c r="E71" s="184">
        <v>1350687</v>
      </c>
      <c r="F71" s="184">
        <v>571438</v>
      </c>
      <c r="G71" s="247">
        <f aca="true" t="shared" si="11" ref="G71:G77">F71/E71</f>
        <v>0.42307211071106776</v>
      </c>
      <c r="H71" s="185">
        <v>1350687</v>
      </c>
      <c r="I71" s="184">
        <v>571438</v>
      </c>
      <c r="J71" s="73">
        <f>I71/H71</f>
        <v>0.42307211071106776</v>
      </c>
      <c r="K71" s="205"/>
      <c r="L71" s="184"/>
      <c r="M71" s="87"/>
      <c r="N71" s="205"/>
      <c r="O71" s="184"/>
      <c r="P71" s="9"/>
    </row>
    <row r="72" spans="1:16" ht="19.5" thickBot="1">
      <c r="A72" s="19"/>
      <c r="B72" s="15"/>
      <c r="C72" s="6" t="str">
        <f>"0020"</f>
        <v>0020</v>
      </c>
      <c r="D72" s="9" t="s">
        <v>155</v>
      </c>
      <c r="E72" s="184">
        <v>30000</v>
      </c>
      <c r="F72" s="184">
        <v>43176.81</v>
      </c>
      <c r="G72" s="247">
        <f t="shared" si="11"/>
        <v>1.4392269999999998</v>
      </c>
      <c r="H72" s="185">
        <v>30000</v>
      </c>
      <c r="I72" s="184">
        <v>43176.81</v>
      </c>
      <c r="J72" s="73">
        <f>I72/H72</f>
        <v>1.4392269999999998</v>
      </c>
      <c r="K72" s="205"/>
      <c r="L72" s="184"/>
      <c r="M72" s="87"/>
      <c r="N72" s="205"/>
      <c r="O72" s="184"/>
      <c r="P72" s="9"/>
    </row>
    <row r="73" spans="1:16" ht="19.5" thickBot="1">
      <c r="A73" s="12">
        <v>758</v>
      </c>
      <c r="B73" s="12"/>
      <c r="C73" s="13"/>
      <c r="D73" s="12" t="s">
        <v>14</v>
      </c>
      <c r="E73" s="186">
        <f>E74+E76+E78+E80</f>
        <v>5217344</v>
      </c>
      <c r="F73" s="186">
        <f>F74+F76+F78+F80</f>
        <v>3071866.75</v>
      </c>
      <c r="G73" s="245">
        <f t="shared" si="11"/>
        <v>0.5887797986868414</v>
      </c>
      <c r="H73" s="186">
        <f>H74+H76+H78+H80</f>
        <v>5217344</v>
      </c>
      <c r="I73" s="186">
        <f>I74+I76+I78+I80</f>
        <v>3071866.75</v>
      </c>
      <c r="J73" s="74">
        <f>I73/H73</f>
        <v>0.5887797986868414</v>
      </c>
      <c r="K73" s="209"/>
      <c r="L73" s="186"/>
      <c r="M73" s="80"/>
      <c r="N73" s="209"/>
      <c r="O73" s="186"/>
      <c r="P73" s="81"/>
    </row>
    <row r="74" spans="1:16" ht="37.5">
      <c r="A74" s="15"/>
      <c r="B74" s="169">
        <v>75801</v>
      </c>
      <c r="C74" s="6"/>
      <c r="D74" s="42" t="s">
        <v>120</v>
      </c>
      <c r="E74" s="182">
        <f>E75</f>
        <v>4014327</v>
      </c>
      <c r="F74" s="182">
        <f>F75</f>
        <v>2470352</v>
      </c>
      <c r="G74" s="246">
        <f t="shared" si="11"/>
        <v>0.6153838488992053</v>
      </c>
      <c r="H74" s="182">
        <f>H75</f>
        <v>4014327</v>
      </c>
      <c r="I74" s="182">
        <f>I75</f>
        <v>2470352</v>
      </c>
      <c r="J74" s="72">
        <f>I75/H75</f>
        <v>0.6153838488992053</v>
      </c>
      <c r="K74" s="234"/>
      <c r="L74" s="182"/>
      <c r="M74" s="73"/>
      <c r="N74" s="234"/>
      <c r="O74" s="182"/>
      <c r="P74" s="10"/>
    </row>
    <row r="75" spans="1:169" s="71" customFormat="1" ht="19.5" thickBot="1">
      <c r="A75" s="15"/>
      <c r="B75" s="15"/>
      <c r="C75" s="6">
        <v>2920</v>
      </c>
      <c r="D75" s="9" t="s">
        <v>121</v>
      </c>
      <c r="E75" s="184">
        <v>4014327</v>
      </c>
      <c r="F75" s="184">
        <v>2470352</v>
      </c>
      <c r="G75" s="247">
        <f t="shared" si="11"/>
        <v>0.6153838488992053</v>
      </c>
      <c r="H75" s="185">
        <v>4014327</v>
      </c>
      <c r="I75" s="184">
        <v>2470352</v>
      </c>
      <c r="J75" s="73">
        <f>I75/H75</f>
        <v>0.6153838488992053</v>
      </c>
      <c r="K75" s="234"/>
      <c r="L75" s="182"/>
      <c r="M75" s="73"/>
      <c r="N75" s="234"/>
      <c r="O75" s="182"/>
      <c r="P75" s="10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</row>
    <row r="76" spans="1:16" ht="18.75">
      <c r="A76" s="19"/>
      <c r="B76" s="22">
        <v>75807</v>
      </c>
      <c r="C76" s="21"/>
      <c r="D76" s="22" t="s">
        <v>122</v>
      </c>
      <c r="E76" s="189">
        <f>E77</f>
        <v>1109159</v>
      </c>
      <c r="F76" s="189">
        <f>F77</f>
        <v>554580</v>
      </c>
      <c r="G76" s="78">
        <f t="shared" si="11"/>
        <v>0.5000004507919965</v>
      </c>
      <c r="H76" s="189">
        <f>H77</f>
        <v>1109159</v>
      </c>
      <c r="I76" s="189">
        <f>I77</f>
        <v>554580</v>
      </c>
      <c r="J76" s="79">
        <f>I76/H76</f>
        <v>0.5000004507919965</v>
      </c>
      <c r="K76" s="204"/>
      <c r="L76" s="189"/>
      <c r="M76" s="79"/>
      <c r="N76" s="204"/>
      <c r="O76" s="189"/>
      <c r="P76" s="23"/>
    </row>
    <row r="77" spans="1:16" ht="18.75">
      <c r="A77" s="19"/>
      <c r="B77" s="15"/>
      <c r="C77" s="6">
        <v>2920</v>
      </c>
      <c r="D77" s="9" t="s">
        <v>121</v>
      </c>
      <c r="E77" s="184">
        <v>1109159</v>
      </c>
      <c r="F77" s="184">
        <v>554580</v>
      </c>
      <c r="G77" s="247">
        <f t="shared" si="11"/>
        <v>0.5000004507919965</v>
      </c>
      <c r="H77" s="185">
        <v>1109159</v>
      </c>
      <c r="I77" s="184">
        <v>554580</v>
      </c>
      <c r="J77" s="73">
        <f>I77/H77</f>
        <v>0.5000004507919965</v>
      </c>
      <c r="K77" s="234"/>
      <c r="L77" s="182"/>
      <c r="M77" s="72"/>
      <c r="N77" s="234"/>
      <c r="O77" s="182"/>
      <c r="P77" s="26"/>
    </row>
    <row r="78" spans="1:16" ht="18.75">
      <c r="A78" s="19"/>
      <c r="B78" s="22">
        <v>75814</v>
      </c>
      <c r="C78" s="21"/>
      <c r="D78" s="22" t="s">
        <v>36</v>
      </c>
      <c r="E78" s="189">
        <f>SUM(E79:E79)</f>
        <v>0</v>
      </c>
      <c r="F78" s="189">
        <f>SUM(F79:F79)</f>
        <v>2.75</v>
      </c>
      <c r="G78" s="250"/>
      <c r="H78" s="189">
        <f>SUM(H79:H79)</f>
        <v>0</v>
      </c>
      <c r="I78" s="189">
        <f>SUM(I79:I79)</f>
        <v>2.75</v>
      </c>
      <c r="J78" s="79"/>
      <c r="K78" s="204"/>
      <c r="L78" s="189"/>
      <c r="M78" s="79"/>
      <c r="N78" s="204"/>
      <c r="O78" s="189"/>
      <c r="P78" s="23"/>
    </row>
    <row r="79" spans="1:16" ht="18.75">
      <c r="A79" s="19"/>
      <c r="B79" s="9"/>
      <c r="C79" s="6" t="str">
        <f>"0920"</f>
        <v>0920</v>
      </c>
      <c r="D79" s="9" t="s">
        <v>24</v>
      </c>
      <c r="E79" s="184">
        <f>H79</f>
        <v>0</v>
      </c>
      <c r="F79" s="184">
        <v>2.75</v>
      </c>
      <c r="G79" s="247"/>
      <c r="H79" s="185">
        <v>0</v>
      </c>
      <c r="I79" s="184">
        <v>2.75</v>
      </c>
      <c r="J79" s="73"/>
      <c r="K79" s="205"/>
      <c r="L79" s="184"/>
      <c r="M79" s="73"/>
      <c r="N79" s="205"/>
      <c r="O79" s="184"/>
      <c r="P79" s="10"/>
    </row>
    <row r="80" spans="1:16" ht="18.75">
      <c r="A80" s="19"/>
      <c r="B80" s="22">
        <v>75831</v>
      </c>
      <c r="C80" s="21"/>
      <c r="D80" s="22" t="s">
        <v>100</v>
      </c>
      <c r="E80" s="189">
        <f>SUM(E81:E81)</f>
        <v>93858</v>
      </c>
      <c r="F80" s="189">
        <f>SUM(F81:F81)</f>
        <v>46932</v>
      </c>
      <c r="G80" s="250"/>
      <c r="H80" s="189">
        <f>SUM(H81:H81)</f>
        <v>93858</v>
      </c>
      <c r="I80" s="189">
        <f>SUM(I81:I81)</f>
        <v>46932</v>
      </c>
      <c r="J80" s="79">
        <f aca="true" t="shared" si="12" ref="J80:J85">I80/H80</f>
        <v>0.5000319631784185</v>
      </c>
      <c r="K80" s="204"/>
      <c r="L80" s="189"/>
      <c r="M80" s="79"/>
      <c r="N80" s="204"/>
      <c r="O80" s="189"/>
      <c r="P80" s="23"/>
    </row>
    <row r="81" spans="1:16" ht="19.5" thickBot="1">
      <c r="A81" s="19"/>
      <c r="B81" s="9"/>
      <c r="C81" s="6">
        <v>2920</v>
      </c>
      <c r="D81" s="9" t="s">
        <v>121</v>
      </c>
      <c r="E81" s="184">
        <v>93858</v>
      </c>
      <c r="F81" s="184">
        <v>46932</v>
      </c>
      <c r="G81" s="246">
        <f>F81/E81</f>
        <v>0.5000319631784185</v>
      </c>
      <c r="H81" s="185">
        <v>93858</v>
      </c>
      <c r="I81" s="184">
        <v>46932</v>
      </c>
      <c r="J81" s="73">
        <f t="shared" si="12"/>
        <v>0.5000319631784185</v>
      </c>
      <c r="K81" s="205"/>
      <c r="L81" s="184"/>
      <c r="M81" s="73"/>
      <c r="N81" s="205"/>
      <c r="O81" s="184"/>
      <c r="P81" s="10"/>
    </row>
    <row r="82" spans="1:16" ht="19.5" thickBot="1">
      <c r="A82" s="12">
        <v>801</v>
      </c>
      <c r="B82" s="12"/>
      <c r="C82" s="13"/>
      <c r="D82" s="12" t="s">
        <v>37</v>
      </c>
      <c r="E82" s="186">
        <f>E83</f>
        <v>2046</v>
      </c>
      <c r="F82" s="186">
        <f>F83</f>
        <v>1500</v>
      </c>
      <c r="G82" s="245">
        <f>F82/E82</f>
        <v>0.7331378299120235</v>
      </c>
      <c r="H82" s="186">
        <f>H83</f>
        <v>2046</v>
      </c>
      <c r="I82" s="186">
        <f>I83</f>
        <v>1500</v>
      </c>
      <c r="J82" s="74">
        <f t="shared" si="12"/>
        <v>0.7331378299120235</v>
      </c>
      <c r="K82" s="209"/>
      <c r="L82" s="186"/>
      <c r="M82" s="89"/>
      <c r="N82" s="209"/>
      <c r="O82" s="186"/>
      <c r="P82" s="14"/>
    </row>
    <row r="83" spans="1:16" ht="18.75">
      <c r="A83" s="19"/>
      <c r="B83" s="163">
        <v>80101</v>
      </c>
      <c r="C83" s="164"/>
      <c r="D83" s="15" t="s">
        <v>38</v>
      </c>
      <c r="E83" s="182">
        <f>SUM(E84:E84)</f>
        <v>2046</v>
      </c>
      <c r="F83" s="182">
        <f>SUM(F84:F84)</f>
        <v>1500</v>
      </c>
      <c r="G83" s="246">
        <f>F83/E83</f>
        <v>0.7331378299120235</v>
      </c>
      <c r="H83" s="182">
        <f>SUM(H84:H84)</f>
        <v>2046</v>
      </c>
      <c r="I83" s="182">
        <f>SUM(I84:I84)</f>
        <v>1500</v>
      </c>
      <c r="J83" s="72">
        <f t="shared" si="12"/>
        <v>0.7331378299120235</v>
      </c>
      <c r="K83" s="206"/>
      <c r="L83" s="182"/>
      <c r="M83" s="73"/>
      <c r="N83" s="234"/>
      <c r="O83" s="182"/>
      <c r="P83" s="26"/>
    </row>
    <row r="84" spans="1:169" s="68" customFormat="1" ht="38.25" thickBot="1">
      <c r="A84" s="25"/>
      <c r="B84" s="15"/>
      <c r="C84" s="168">
        <v>2030</v>
      </c>
      <c r="D84" s="147" t="s">
        <v>103</v>
      </c>
      <c r="E84" s="184">
        <v>2046</v>
      </c>
      <c r="F84" s="184">
        <v>1500</v>
      </c>
      <c r="G84" s="247">
        <f aca="true" t="shared" si="13" ref="G84:G102">F84/E84</f>
        <v>0.7331378299120235</v>
      </c>
      <c r="H84" s="185">
        <v>2046</v>
      </c>
      <c r="I84" s="184">
        <v>1500</v>
      </c>
      <c r="J84" s="73">
        <f t="shared" si="12"/>
        <v>0.7331378299120235</v>
      </c>
      <c r="K84" s="205"/>
      <c r="L84" s="184"/>
      <c r="M84" s="73"/>
      <c r="N84" s="205"/>
      <c r="O84" s="184"/>
      <c r="P84" s="10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</row>
    <row r="85" spans="1:169" s="68" customFormat="1" ht="19.5" thickBot="1">
      <c r="A85" s="12">
        <v>852</v>
      </c>
      <c r="B85" s="12"/>
      <c r="C85" s="13"/>
      <c r="D85" s="12" t="s">
        <v>92</v>
      </c>
      <c r="E85" s="186">
        <f>E86+E88+E90+E93+E96</f>
        <v>2106558</v>
      </c>
      <c r="F85" s="186">
        <f>F86+F88+F90+F93+F96</f>
        <v>1043475.1</v>
      </c>
      <c r="G85" s="245">
        <f t="shared" si="13"/>
        <v>0.4953460099365885</v>
      </c>
      <c r="H85" s="186">
        <f>H86+H88+H90+H93+H96</f>
        <v>333345</v>
      </c>
      <c r="I85" s="186">
        <f>I86+I88+I90+I93+I96</f>
        <v>195618.1</v>
      </c>
      <c r="J85" s="74">
        <f t="shared" si="12"/>
        <v>0.5868337608183714</v>
      </c>
      <c r="K85" s="209">
        <f>K86+K88+K90+K93+K96</f>
        <v>1773213</v>
      </c>
      <c r="L85" s="186">
        <f>L86+L88+L90+L93+L96</f>
        <v>847857</v>
      </c>
      <c r="M85" s="74">
        <f aca="true" t="shared" si="14" ref="M85:M91">L85/K85</f>
        <v>0.47814729533338635</v>
      </c>
      <c r="N85" s="209"/>
      <c r="O85" s="233"/>
      <c r="P85" s="81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</row>
    <row r="86" spans="1:169" s="68" customFormat="1" ht="56.25">
      <c r="A86" s="25"/>
      <c r="B86" s="169">
        <v>85212</v>
      </c>
      <c r="C86" s="168"/>
      <c r="D86" s="42" t="s">
        <v>123</v>
      </c>
      <c r="E86" s="189">
        <f>SUM(E87:E87)</f>
        <v>1716000</v>
      </c>
      <c r="F86" s="189">
        <f>SUM(F87:F87)</f>
        <v>811077</v>
      </c>
      <c r="G86" s="250">
        <f t="shared" si="13"/>
        <v>0.4726555944055944</v>
      </c>
      <c r="H86" s="189"/>
      <c r="I86" s="223"/>
      <c r="J86" s="90"/>
      <c r="K86" s="222">
        <f>SUM(K87:K87)</f>
        <v>1716000</v>
      </c>
      <c r="L86" s="222">
        <f>SUM(L87:L87)</f>
        <v>811077</v>
      </c>
      <c r="M86" s="140">
        <f t="shared" si="14"/>
        <v>0.4726555944055944</v>
      </c>
      <c r="N86" s="222"/>
      <c r="O86" s="223"/>
      <c r="P86" s="91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</row>
    <row r="87" spans="1:169" s="68" customFormat="1" ht="72.75" customHeight="1">
      <c r="A87" s="25"/>
      <c r="B87" s="169"/>
      <c r="C87" s="168">
        <v>2010</v>
      </c>
      <c r="D87" s="147" t="s">
        <v>102</v>
      </c>
      <c r="E87" s="184">
        <v>1716000</v>
      </c>
      <c r="F87" s="184">
        <v>811077</v>
      </c>
      <c r="G87" s="247">
        <f t="shared" si="13"/>
        <v>0.4726555944055944</v>
      </c>
      <c r="H87" s="185"/>
      <c r="I87" s="184"/>
      <c r="J87" s="73"/>
      <c r="K87" s="205">
        <v>1716000</v>
      </c>
      <c r="L87" s="184">
        <v>811077</v>
      </c>
      <c r="M87" s="73">
        <f t="shared" si="14"/>
        <v>0.4726555944055944</v>
      </c>
      <c r="N87" s="205"/>
      <c r="O87" s="184"/>
      <c r="P87" s="10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</row>
    <row r="88" spans="1:169" s="39" customFormat="1" ht="56.25">
      <c r="A88" s="25"/>
      <c r="B88" s="170">
        <v>85213</v>
      </c>
      <c r="C88" s="172"/>
      <c r="D88" s="148" t="s">
        <v>124</v>
      </c>
      <c r="E88" s="189">
        <f>E89</f>
        <v>12000</v>
      </c>
      <c r="F88" s="189">
        <f>F89</f>
        <v>6000</v>
      </c>
      <c r="G88" s="250">
        <f t="shared" si="13"/>
        <v>0.5</v>
      </c>
      <c r="H88" s="187"/>
      <c r="I88" s="189"/>
      <c r="J88" s="79"/>
      <c r="K88" s="204">
        <f>K89</f>
        <v>12000</v>
      </c>
      <c r="L88" s="204">
        <f>L89</f>
        <v>6000</v>
      </c>
      <c r="M88" s="140">
        <f t="shared" si="14"/>
        <v>0.5</v>
      </c>
      <c r="N88" s="204"/>
      <c r="O88" s="189"/>
      <c r="P88" s="23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</row>
    <row r="89" spans="1:169" s="39" customFormat="1" ht="73.5" customHeight="1">
      <c r="A89" s="25"/>
      <c r="B89" s="169"/>
      <c r="C89" s="168">
        <v>2010</v>
      </c>
      <c r="D89" s="147" t="s">
        <v>102</v>
      </c>
      <c r="E89" s="184">
        <v>12000</v>
      </c>
      <c r="F89" s="184">
        <v>6000</v>
      </c>
      <c r="G89" s="247">
        <f t="shared" si="13"/>
        <v>0.5</v>
      </c>
      <c r="H89" s="185"/>
      <c r="I89" s="184"/>
      <c r="J89" s="73"/>
      <c r="K89" s="205">
        <v>12000</v>
      </c>
      <c r="L89" s="184">
        <v>6000</v>
      </c>
      <c r="M89" s="73">
        <f t="shared" si="14"/>
        <v>0.5</v>
      </c>
      <c r="N89" s="205"/>
      <c r="O89" s="184"/>
      <c r="P89" s="10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</row>
    <row r="90" spans="1:169" s="39" customFormat="1" ht="37.5">
      <c r="A90" s="25"/>
      <c r="B90" s="170">
        <v>85214</v>
      </c>
      <c r="C90" s="172"/>
      <c r="D90" s="148" t="s">
        <v>125</v>
      </c>
      <c r="E90" s="189">
        <f>SUM(E91:E92)</f>
        <v>177855</v>
      </c>
      <c r="F90" s="189">
        <f>SUM(F91:F92)</f>
        <v>116550</v>
      </c>
      <c r="G90" s="250">
        <f t="shared" si="13"/>
        <v>0.6553091001096398</v>
      </c>
      <c r="H90" s="189">
        <f>SUM(H91:H92)</f>
        <v>132642</v>
      </c>
      <c r="I90" s="189">
        <f>SUM(I91:I92)</f>
        <v>85770</v>
      </c>
      <c r="J90" s="92">
        <f>I90/H90</f>
        <v>0.6466277649613245</v>
      </c>
      <c r="K90" s="222">
        <f>K91</f>
        <v>45213</v>
      </c>
      <c r="L90" s="222">
        <f>L91</f>
        <v>30780</v>
      </c>
      <c r="M90" s="140">
        <f t="shared" si="14"/>
        <v>0.6807776524450933</v>
      </c>
      <c r="N90" s="222"/>
      <c r="O90" s="223"/>
      <c r="P90" s="91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</row>
    <row r="91" spans="1:169" s="39" customFormat="1" ht="76.5" customHeight="1">
      <c r="A91" s="25"/>
      <c r="B91" s="169"/>
      <c r="C91" s="168">
        <v>2010</v>
      </c>
      <c r="D91" s="147" t="s">
        <v>102</v>
      </c>
      <c r="E91" s="184">
        <v>45213</v>
      </c>
      <c r="F91" s="184">
        <v>30780</v>
      </c>
      <c r="G91" s="247">
        <f t="shared" si="13"/>
        <v>0.6807776524450933</v>
      </c>
      <c r="H91" s="185"/>
      <c r="I91" s="184"/>
      <c r="J91" s="73"/>
      <c r="K91" s="205">
        <v>45213</v>
      </c>
      <c r="L91" s="184">
        <v>30780</v>
      </c>
      <c r="M91" s="73">
        <f t="shared" si="14"/>
        <v>0.6807776524450933</v>
      </c>
      <c r="N91" s="205"/>
      <c r="O91" s="184"/>
      <c r="P91" s="10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</row>
    <row r="92" spans="1:169" s="39" customFormat="1" ht="37.5">
      <c r="A92" s="25"/>
      <c r="B92" s="169"/>
      <c r="C92" s="168">
        <v>2030</v>
      </c>
      <c r="D92" s="147" t="s">
        <v>103</v>
      </c>
      <c r="E92" s="184">
        <v>132642</v>
      </c>
      <c r="F92" s="184">
        <v>85770</v>
      </c>
      <c r="G92" s="247">
        <f t="shared" si="13"/>
        <v>0.6466277649613245</v>
      </c>
      <c r="H92" s="185">
        <v>132642</v>
      </c>
      <c r="I92" s="184">
        <v>85770</v>
      </c>
      <c r="J92" s="73">
        <f aca="true" t="shared" si="15" ref="J92:J98">I92/H92</f>
        <v>0.6466277649613245</v>
      </c>
      <c r="K92" s="205"/>
      <c r="L92" s="184"/>
      <c r="M92" s="73"/>
      <c r="N92" s="205"/>
      <c r="O92" s="184"/>
      <c r="P92" s="10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</row>
    <row r="93" spans="1:169" s="68" customFormat="1" ht="18.75">
      <c r="A93" s="25"/>
      <c r="B93" s="22">
        <v>85219</v>
      </c>
      <c r="C93" s="21"/>
      <c r="D93" s="22" t="s">
        <v>30</v>
      </c>
      <c r="E93" s="189">
        <f>SUM(E94:E95)</f>
        <v>115000</v>
      </c>
      <c r="F93" s="189">
        <f>SUM(F94:F95)</f>
        <v>56614.1</v>
      </c>
      <c r="G93" s="78">
        <f t="shared" si="13"/>
        <v>0.4922965217391304</v>
      </c>
      <c r="H93" s="189">
        <f>SUM(H94:H95)</f>
        <v>115000</v>
      </c>
      <c r="I93" s="189">
        <f>SUM(I94:I95)</f>
        <v>56614.1</v>
      </c>
      <c r="J93" s="92">
        <f t="shared" si="15"/>
        <v>0.4922965217391304</v>
      </c>
      <c r="K93" s="187"/>
      <c r="L93" s="189"/>
      <c r="M93" s="79"/>
      <c r="N93" s="204"/>
      <c r="O93" s="189"/>
      <c r="P93" s="23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</row>
    <row r="94" spans="1:169" s="68" customFormat="1" ht="18.75">
      <c r="A94" s="25"/>
      <c r="B94" s="15"/>
      <c r="C94" s="6" t="str">
        <f>"0830"</f>
        <v>0830</v>
      </c>
      <c r="D94" s="9" t="s">
        <v>6</v>
      </c>
      <c r="E94" s="184">
        <v>4000</v>
      </c>
      <c r="F94" s="184">
        <v>1114.1</v>
      </c>
      <c r="G94" s="247">
        <f t="shared" si="13"/>
        <v>0.27852499999999997</v>
      </c>
      <c r="H94" s="185">
        <v>4000</v>
      </c>
      <c r="I94" s="184">
        <v>1114.1</v>
      </c>
      <c r="J94" s="73">
        <f t="shared" si="15"/>
        <v>0.27852499999999997</v>
      </c>
      <c r="K94" s="205"/>
      <c r="L94" s="184"/>
      <c r="M94" s="73"/>
      <c r="N94" s="205"/>
      <c r="O94" s="184"/>
      <c r="P94" s="10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</row>
    <row r="95" spans="1:169" s="39" customFormat="1" ht="37.5">
      <c r="A95" s="25"/>
      <c r="B95" s="15"/>
      <c r="C95" s="168">
        <v>2030</v>
      </c>
      <c r="D95" s="147" t="s">
        <v>103</v>
      </c>
      <c r="E95" s="184">
        <v>111000</v>
      </c>
      <c r="F95" s="184">
        <v>55500</v>
      </c>
      <c r="G95" s="247">
        <f t="shared" si="13"/>
        <v>0.5</v>
      </c>
      <c r="H95" s="185">
        <v>111000</v>
      </c>
      <c r="I95" s="184">
        <v>55500</v>
      </c>
      <c r="J95" s="73">
        <f t="shared" si="15"/>
        <v>0.5</v>
      </c>
      <c r="K95" s="205"/>
      <c r="L95" s="184"/>
      <c r="M95" s="73"/>
      <c r="N95" s="205"/>
      <c r="O95" s="184"/>
      <c r="P95" s="10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</row>
    <row r="96" spans="1:169" s="39" customFormat="1" ht="18.75">
      <c r="A96" s="25"/>
      <c r="B96" s="22">
        <v>85295</v>
      </c>
      <c r="C96" s="172"/>
      <c r="D96" s="22" t="s">
        <v>4</v>
      </c>
      <c r="E96" s="189">
        <f>SUM(E97:E97)</f>
        <v>85703</v>
      </c>
      <c r="F96" s="189">
        <f>SUM(F97:F97)</f>
        <v>53234</v>
      </c>
      <c r="G96" s="78">
        <f t="shared" si="13"/>
        <v>0.621145117440463</v>
      </c>
      <c r="H96" s="189">
        <f>SUM(H97:H97)</f>
        <v>85703</v>
      </c>
      <c r="I96" s="189">
        <f>SUM(I97:I97)</f>
        <v>53234</v>
      </c>
      <c r="J96" s="92">
        <f t="shared" si="15"/>
        <v>0.621145117440463</v>
      </c>
      <c r="K96" s="187"/>
      <c r="L96" s="189"/>
      <c r="M96" s="79"/>
      <c r="N96" s="204"/>
      <c r="O96" s="189"/>
      <c r="P96" s="23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</row>
    <row r="97" spans="1:169" s="39" customFormat="1" ht="38.25" thickBot="1">
      <c r="A97" s="25"/>
      <c r="B97" s="15"/>
      <c r="C97" s="168">
        <v>2030</v>
      </c>
      <c r="D97" s="147" t="s">
        <v>103</v>
      </c>
      <c r="E97" s="184">
        <v>85703</v>
      </c>
      <c r="F97" s="184">
        <v>53234</v>
      </c>
      <c r="G97" s="247">
        <f t="shared" si="13"/>
        <v>0.621145117440463</v>
      </c>
      <c r="H97" s="185">
        <v>85703</v>
      </c>
      <c r="I97" s="184">
        <v>53234</v>
      </c>
      <c r="J97" s="73">
        <f t="shared" si="15"/>
        <v>0.621145117440463</v>
      </c>
      <c r="K97" s="205"/>
      <c r="L97" s="184"/>
      <c r="M97" s="73"/>
      <c r="N97" s="205"/>
      <c r="O97" s="184"/>
      <c r="P97" s="10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</row>
    <row r="98" spans="1:16" ht="18.75" customHeight="1" thickBot="1">
      <c r="A98" s="12">
        <v>854</v>
      </c>
      <c r="B98" s="12"/>
      <c r="C98" s="13"/>
      <c r="D98" s="12" t="s">
        <v>41</v>
      </c>
      <c r="E98" s="186">
        <f>E99</f>
        <v>86693</v>
      </c>
      <c r="F98" s="186">
        <f>F99</f>
        <v>86692.79999999999</v>
      </c>
      <c r="G98" s="245">
        <f t="shared" si="13"/>
        <v>0.9999976930086626</v>
      </c>
      <c r="H98" s="186">
        <f>H99</f>
        <v>86693</v>
      </c>
      <c r="I98" s="186">
        <f>I99</f>
        <v>86692.79999999999</v>
      </c>
      <c r="J98" s="74">
        <f t="shared" si="15"/>
        <v>0.9999976930086626</v>
      </c>
      <c r="K98" s="209"/>
      <c r="L98" s="186"/>
      <c r="M98" s="74"/>
      <c r="N98" s="209"/>
      <c r="O98" s="186"/>
      <c r="P98" s="14"/>
    </row>
    <row r="99" spans="1:16" ht="18.75" customHeight="1">
      <c r="A99" s="25"/>
      <c r="B99" s="15">
        <v>85415</v>
      </c>
      <c r="C99" s="6"/>
      <c r="D99" s="15" t="s">
        <v>80</v>
      </c>
      <c r="E99" s="182">
        <f>SUM(E100:E102)</f>
        <v>86693</v>
      </c>
      <c r="F99" s="182">
        <f>SUM(F100:F102)</f>
        <v>86692.79999999999</v>
      </c>
      <c r="G99" s="246">
        <f t="shared" si="13"/>
        <v>0.9999976930086626</v>
      </c>
      <c r="H99" s="182">
        <f>SUM(H100:H102)</f>
        <v>86693</v>
      </c>
      <c r="I99" s="182">
        <f>SUM(I100:I102)</f>
        <v>86692.79999999999</v>
      </c>
      <c r="J99" s="72">
        <f>I100/H100</f>
        <v>1</v>
      </c>
      <c r="K99" s="234"/>
      <c r="L99" s="182"/>
      <c r="M99" s="72"/>
      <c r="N99" s="234"/>
      <c r="O99" s="182"/>
      <c r="P99" s="26"/>
    </row>
    <row r="100" spans="1:16" ht="37.5" customHeight="1">
      <c r="A100" s="25"/>
      <c r="B100" s="15"/>
      <c r="C100" s="168">
        <v>2030</v>
      </c>
      <c r="D100" s="147" t="s">
        <v>103</v>
      </c>
      <c r="E100" s="184">
        <v>62733</v>
      </c>
      <c r="F100" s="184">
        <v>62733</v>
      </c>
      <c r="G100" s="247">
        <f t="shared" si="13"/>
        <v>1</v>
      </c>
      <c r="H100" s="185">
        <v>62733</v>
      </c>
      <c r="I100" s="184">
        <v>62733</v>
      </c>
      <c r="J100" s="73">
        <f aca="true" t="shared" si="16" ref="J100:J106">I100/H100</f>
        <v>1</v>
      </c>
      <c r="K100" s="205"/>
      <c r="L100" s="184"/>
      <c r="M100" s="73"/>
      <c r="N100" s="205"/>
      <c r="O100" s="184"/>
      <c r="P100" s="10"/>
    </row>
    <row r="101" spans="1:16" ht="54" customHeight="1">
      <c r="A101" s="25"/>
      <c r="B101" s="25"/>
      <c r="C101" s="168">
        <v>2338</v>
      </c>
      <c r="D101" s="147" t="s">
        <v>126</v>
      </c>
      <c r="E101" s="184">
        <v>16305</v>
      </c>
      <c r="F101" s="184">
        <v>16304.65</v>
      </c>
      <c r="G101" s="247">
        <f t="shared" si="13"/>
        <v>0.9999785341919656</v>
      </c>
      <c r="H101" s="185">
        <v>16305</v>
      </c>
      <c r="I101" s="184">
        <v>16304.65</v>
      </c>
      <c r="J101" s="73">
        <f t="shared" si="16"/>
        <v>0.9999785341919656</v>
      </c>
      <c r="K101" s="205"/>
      <c r="L101" s="184"/>
      <c r="M101" s="73"/>
      <c r="N101" s="205"/>
      <c r="O101" s="184"/>
      <c r="P101" s="10"/>
    </row>
    <row r="102" spans="1:16" ht="54.75" customHeight="1" thickBot="1">
      <c r="A102" s="25"/>
      <c r="B102" s="25"/>
      <c r="C102" s="168">
        <v>2339</v>
      </c>
      <c r="D102" s="147" t="s">
        <v>126</v>
      </c>
      <c r="E102" s="184">
        <v>7655</v>
      </c>
      <c r="F102" s="184">
        <v>7655.15</v>
      </c>
      <c r="G102" s="247">
        <f t="shared" si="13"/>
        <v>1.000019595035924</v>
      </c>
      <c r="H102" s="185">
        <v>7655</v>
      </c>
      <c r="I102" s="184">
        <v>7655.15</v>
      </c>
      <c r="J102" s="73">
        <f t="shared" si="16"/>
        <v>1.000019595035924</v>
      </c>
      <c r="K102" s="205"/>
      <c r="L102" s="184"/>
      <c r="M102" s="73"/>
      <c r="N102" s="205"/>
      <c r="O102" s="184"/>
      <c r="P102" s="10"/>
    </row>
    <row r="103" spans="1:16" ht="18.75" customHeight="1" thickBot="1">
      <c r="A103" s="12">
        <v>900</v>
      </c>
      <c r="B103" s="12"/>
      <c r="C103" s="13"/>
      <c r="D103" s="12" t="s">
        <v>104</v>
      </c>
      <c r="E103" s="186">
        <f>E104</f>
        <v>50000</v>
      </c>
      <c r="F103" s="186">
        <f>F104</f>
        <v>50000</v>
      </c>
      <c r="G103" s="245">
        <f>F103/E103</f>
        <v>1</v>
      </c>
      <c r="H103" s="186">
        <f>H104</f>
        <v>50000</v>
      </c>
      <c r="I103" s="186">
        <f>I104</f>
        <v>50000</v>
      </c>
      <c r="J103" s="74">
        <f t="shared" si="16"/>
        <v>1</v>
      </c>
      <c r="K103" s="209"/>
      <c r="L103" s="186"/>
      <c r="M103" s="74"/>
      <c r="N103" s="209"/>
      <c r="O103" s="186"/>
      <c r="P103" s="14"/>
    </row>
    <row r="104" spans="1:16" ht="18.75" customHeight="1">
      <c r="A104" s="25"/>
      <c r="B104" s="22">
        <v>90013</v>
      </c>
      <c r="C104" s="172"/>
      <c r="D104" s="22" t="s">
        <v>72</v>
      </c>
      <c r="E104" s="189">
        <f>E105</f>
        <v>50000</v>
      </c>
      <c r="F104" s="189">
        <f>F105</f>
        <v>50000</v>
      </c>
      <c r="G104" s="78">
        <f>F104/E104</f>
        <v>1</v>
      </c>
      <c r="H104" s="187">
        <f>H105</f>
        <v>50000</v>
      </c>
      <c r="I104" s="189">
        <f>I105</f>
        <v>50000</v>
      </c>
      <c r="J104" s="92">
        <f t="shared" si="16"/>
        <v>1</v>
      </c>
      <c r="K104" s="216"/>
      <c r="L104" s="236"/>
      <c r="M104" s="152"/>
      <c r="N104" s="239"/>
      <c r="O104" s="236"/>
      <c r="P104" s="153"/>
    </row>
    <row r="105" spans="1:16" ht="78.75" customHeight="1" thickBot="1">
      <c r="A105" s="25"/>
      <c r="B105" s="25"/>
      <c r="C105" s="173">
        <v>6610</v>
      </c>
      <c r="D105" s="147" t="s">
        <v>161</v>
      </c>
      <c r="E105" s="184">
        <v>50000</v>
      </c>
      <c r="F105" s="184">
        <v>50000</v>
      </c>
      <c r="G105" s="247">
        <f>F105/E105</f>
        <v>1</v>
      </c>
      <c r="H105" s="185">
        <v>50000</v>
      </c>
      <c r="I105" s="184">
        <v>50000</v>
      </c>
      <c r="J105" s="150">
        <f t="shared" si="16"/>
        <v>1</v>
      </c>
      <c r="K105" s="185"/>
      <c r="L105" s="237"/>
      <c r="M105" s="88"/>
      <c r="N105" s="240"/>
      <c r="O105" s="237"/>
      <c r="P105" s="31"/>
    </row>
    <row r="106" spans="1:16" ht="18.75" customHeight="1" thickBot="1" thickTop="1">
      <c r="A106" s="30"/>
      <c r="B106" s="30"/>
      <c r="C106" s="32"/>
      <c r="D106" s="30" t="s">
        <v>15</v>
      </c>
      <c r="E106" s="228">
        <f>E4+E7+E10+E18+E24+E35+E40+E43+E73+E82+E85+E98+E103</f>
        <v>12191572</v>
      </c>
      <c r="F106" s="228">
        <f>F4+F7+F10+F18+F24+F35+F40+F43+F73+F82+F85+F98+F103</f>
        <v>6045716.01</v>
      </c>
      <c r="G106" s="251">
        <f>F106/E106</f>
        <v>0.4958930653077388</v>
      </c>
      <c r="H106" s="228">
        <f>+H4+H7+H10+H18+H24+H35+H40+H43+H73+H82+H85+H98+H103</f>
        <v>10313903</v>
      </c>
      <c r="I106" s="228">
        <f>I4+I7+I10+I18+I24+I35+I40+I43+I73+I82+I85+I98+I103</f>
        <v>5140077.01</v>
      </c>
      <c r="J106" s="96">
        <f t="shared" si="16"/>
        <v>0.49836390840596423</v>
      </c>
      <c r="K106" s="238">
        <f>+K4+K7+K10+K18+K24+K35+K40+K43+K73+K82+K85+K98</f>
        <v>1868669</v>
      </c>
      <c r="L106" s="228">
        <f>+L4+L7+L10+L18+L24+L35+L40+L43+L73+L82+L85+L98</f>
        <v>901139</v>
      </c>
      <c r="M106" s="96">
        <f>L106/K106</f>
        <v>0.48223575175699923</v>
      </c>
      <c r="N106" s="241">
        <f>N4+N7+N10+N18+N24+N35+N40+N43+N73+N82+N85+N98</f>
        <v>9000</v>
      </c>
      <c r="O106" s="228">
        <f>O4+O7+O10+O18+O24+O35+O40+O43+O73+O82+O85+O98</f>
        <v>4500</v>
      </c>
      <c r="P106" s="77">
        <f>O106/N106</f>
        <v>0.5</v>
      </c>
    </row>
    <row r="107" spans="1:16" ht="18.75" customHeight="1" thickTop="1">
      <c r="A107" s="17"/>
      <c r="B107" s="33"/>
      <c r="C107" s="34"/>
      <c r="D107" s="17"/>
      <c r="E107" s="194"/>
      <c r="F107" s="194"/>
      <c r="G107" s="123"/>
      <c r="H107" s="194"/>
      <c r="I107" s="194"/>
      <c r="J107" s="17"/>
      <c r="K107" s="194"/>
      <c r="L107" s="194"/>
      <c r="M107" s="17"/>
      <c r="N107" s="194"/>
      <c r="O107" s="194"/>
      <c r="P107" s="17"/>
    </row>
    <row r="108" spans="1:16" s="93" customFormat="1" ht="18">
      <c r="A108" s="35"/>
      <c r="B108" s="36"/>
      <c r="C108" s="37"/>
      <c r="D108" s="35"/>
      <c r="E108" s="229">
        <f>H106+K106+N106</f>
        <v>12191572</v>
      </c>
      <c r="F108" s="229">
        <f>I106+L106+O106</f>
        <v>6045716.01</v>
      </c>
      <c r="G108" s="252"/>
      <c r="H108" s="35"/>
      <c r="I108" s="35"/>
      <c r="J108" s="35"/>
      <c r="K108" s="51"/>
      <c r="L108" s="51"/>
      <c r="M108" s="35"/>
      <c r="N108" s="35"/>
      <c r="O108" s="35"/>
      <c r="P108" s="35"/>
    </row>
    <row r="109" spans="1:16" s="93" customFormat="1" ht="18">
      <c r="A109" s="35"/>
      <c r="B109" s="36"/>
      <c r="C109" s="37"/>
      <c r="D109" s="35"/>
      <c r="E109" s="35"/>
      <c r="F109" s="51"/>
      <c r="G109" s="252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5:12" ht="18.75" customHeight="1">
      <c r="E110" s="51"/>
      <c r="F110" s="51"/>
      <c r="K110" s="51"/>
      <c r="L110" s="51"/>
    </row>
    <row r="111" spans="5:6" ht="18.75" customHeight="1">
      <c r="E111" s="254" t="s">
        <v>156</v>
      </c>
      <c r="F111" s="254"/>
    </row>
    <row r="112" spans="5:6" ht="18.75" customHeight="1">
      <c r="E112" s="253">
        <f>H106+N106</f>
        <v>10322903</v>
      </c>
      <c r="F112" s="253">
        <f>I106+O106</f>
        <v>5144577.01</v>
      </c>
    </row>
    <row r="113" ht="18.75" customHeight="1"/>
    <row r="114" ht="18.75" customHeight="1"/>
    <row r="115" spans="1:16" ht="18.75" customHeight="1">
      <c r="A115" s="17"/>
      <c r="B115" s="33"/>
      <c r="C115" s="34"/>
      <c r="D115" s="17"/>
      <c r="E115" s="17"/>
      <c r="F115" s="17"/>
      <c r="G115" s="123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18.75" customHeight="1">
      <c r="A116" s="17"/>
      <c r="B116" s="33"/>
      <c r="C116" s="34"/>
      <c r="D116" s="17"/>
      <c r="E116" s="17"/>
      <c r="F116" s="17"/>
      <c r="G116" s="123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ht="18.75" customHeight="1">
      <c r="A117" s="17"/>
      <c r="B117" s="33"/>
      <c r="C117" s="34"/>
      <c r="D117" s="17"/>
      <c r="E117" s="17"/>
      <c r="F117" s="17"/>
      <c r="G117" s="123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18.75" customHeight="1">
      <c r="A118" s="17"/>
      <c r="B118" s="33"/>
      <c r="C118" s="34"/>
      <c r="D118" s="17"/>
      <c r="E118" s="17"/>
      <c r="F118" s="17"/>
      <c r="G118" s="123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ht="18.75" customHeight="1">
      <c r="A119" s="17"/>
      <c r="B119" s="33"/>
      <c r="C119" s="34"/>
      <c r="D119" s="17"/>
      <c r="E119" s="17"/>
      <c r="F119" s="17"/>
      <c r="G119" s="123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18.75">
      <c r="A120" s="17"/>
      <c r="B120" s="33"/>
      <c r="C120" s="34"/>
      <c r="D120" s="17"/>
      <c r="E120" s="17"/>
      <c r="F120" s="17"/>
      <c r="G120" s="123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18.75">
      <c r="A121" s="17"/>
      <c r="B121" s="33"/>
      <c r="C121" s="34"/>
      <c r="D121" s="17"/>
      <c r="E121" s="17"/>
      <c r="F121" s="17"/>
      <c r="G121" s="123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ht="18.75">
      <c r="A122" s="17"/>
      <c r="B122" s="33"/>
      <c r="C122" s="34"/>
      <c r="D122" s="17"/>
      <c r="E122" s="17"/>
      <c r="F122" s="17"/>
      <c r="G122" s="123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8.75">
      <c r="A123" s="17"/>
      <c r="B123" s="33"/>
      <c r="C123" s="34"/>
      <c r="D123" s="17"/>
      <c r="E123" s="17"/>
      <c r="F123" s="17"/>
      <c r="G123" s="123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18.75">
      <c r="A124" s="17"/>
      <c r="B124" s="33"/>
      <c r="C124" s="34"/>
      <c r="D124" s="17"/>
      <c r="E124" s="17"/>
      <c r="F124" s="17"/>
      <c r="G124" s="123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ht="18.75">
      <c r="A125" s="17"/>
      <c r="B125" s="33"/>
      <c r="C125" s="34"/>
      <c r="D125" s="17"/>
      <c r="E125" s="17"/>
      <c r="F125" s="17"/>
      <c r="G125" s="123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18.75">
      <c r="A126" s="17"/>
      <c r="B126" s="33"/>
      <c r="C126" s="34"/>
      <c r="D126" s="17"/>
      <c r="E126" s="17"/>
      <c r="F126" s="17"/>
      <c r="G126" s="123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18.75">
      <c r="A127" s="17"/>
      <c r="B127" s="33"/>
      <c r="C127" s="34"/>
      <c r="D127" s="17"/>
      <c r="E127" s="17"/>
      <c r="F127" s="17"/>
      <c r="G127" s="123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8.75">
      <c r="A128" s="17"/>
      <c r="B128" s="33"/>
      <c r="C128" s="34"/>
      <c r="D128" s="17"/>
      <c r="E128" s="17"/>
      <c r="F128" s="17"/>
      <c r="G128" s="123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t="18.75">
      <c r="A129" s="17"/>
      <c r="B129" s="33"/>
      <c r="C129" s="34"/>
      <c r="D129" s="17"/>
      <c r="E129" s="17"/>
      <c r="F129" s="17"/>
      <c r="G129" s="123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18.75">
      <c r="A130" s="17"/>
      <c r="B130" s="33"/>
      <c r="C130" s="34"/>
      <c r="D130" s="17"/>
      <c r="E130" s="17"/>
      <c r="F130" s="17"/>
      <c r="G130" s="123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ht="18.75">
      <c r="A131" s="17"/>
      <c r="B131" s="33"/>
      <c r="C131" s="34"/>
      <c r="D131" s="17"/>
      <c r="E131" s="17"/>
      <c r="F131" s="17"/>
      <c r="G131" s="123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8.75">
      <c r="A132" s="17"/>
      <c r="B132" s="33"/>
      <c r="C132" s="34"/>
      <c r="D132" s="17"/>
      <c r="E132" s="17"/>
      <c r="F132" s="17"/>
      <c r="G132" s="123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ht="18.75">
      <c r="A133" s="17"/>
      <c r="B133" s="33"/>
      <c r="C133" s="34"/>
      <c r="D133" s="17"/>
      <c r="E133" s="17"/>
      <c r="F133" s="17"/>
      <c r="G133" s="123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8.75">
      <c r="A134" s="17"/>
      <c r="B134" s="33"/>
      <c r="C134" s="34"/>
      <c r="D134" s="17"/>
      <c r="E134" s="17"/>
      <c r="F134" s="17"/>
      <c r="G134" s="123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ht="18.75">
      <c r="A135" s="17"/>
      <c r="B135" s="33"/>
      <c r="C135" s="34"/>
      <c r="D135" s="17"/>
      <c r="E135" s="17"/>
      <c r="F135" s="17"/>
      <c r="G135" s="123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18.75">
      <c r="A136" s="17"/>
      <c r="B136" s="33"/>
      <c r="C136" s="34"/>
      <c r="D136" s="17"/>
      <c r="E136" s="17"/>
      <c r="F136" s="17"/>
      <c r="G136" s="123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ht="18.75">
      <c r="A137" s="17"/>
      <c r="B137" s="33"/>
      <c r="C137" s="34"/>
      <c r="D137" s="17"/>
      <c r="E137" s="17"/>
      <c r="F137" s="17"/>
      <c r="G137" s="123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18.75">
      <c r="A138" s="17"/>
      <c r="B138" s="33"/>
      <c r="C138" s="34"/>
      <c r="D138" s="17"/>
      <c r="E138" s="17"/>
      <c r="F138" s="17"/>
      <c r="G138" s="123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18.75">
      <c r="A139" s="17"/>
      <c r="B139" s="33"/>
      <c r="C139" s="34"/>
      <c r="D139" s="17"/>
      <c r="E139" s="17"/>
      <c r="F139" s="17"/>
      <c r="G139" s="123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ht="18.75">
      <c r="A140" s="17"/>
      <c r="B140" s="33"/>
      <c r="C140" s="34"/>
      <c r="D140" s="17"/>
      <c r="E140" s="17"/>
      <c r="F140" s="17"/>
      <c r="G140" s="123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18.75">
      <c r="A141" s="17"/>
      <c r="B141" s="33"/>
      <c r="C141" s="34"/>
      <c r="D141" s="17"/>
      <c r="E141" s="17"/>
      <c r="F141" s="17"/>
      <c r="G141" s="123"/>
      <c r="H141" s="17"/>
      <c r="I141" s="17"/>
      <c r="J141" s="17"/>
      <c r="K141" s="17"/>
      <c r="L141" s="17"/>
      <c r="M141" s="17"/>
      <c r="N141" s="17"/>
      <c r="O141" s="17"/>
      <c r="P141" s="17"/>
    </row>
  </sheetData>
  <sheetProtection/>
  <mergeCells count="6">
    <mergeCell ref="E111:F111"/>
    <mergeCell ref="N1:P1"/>
    <mergeCell ref="A1:A2"/>
    <mergeCell ref="B1:B2"/>
    <mergeCell ref="C1:C2"/>
    <mergeCell ref="D1:D2"/>
  </mergeCells>
  <printOptions/>
  <pageMargins left="0.7874015748031497" right="0.7086614173228347" top="0.7874015748031497" bottom="0.7086614173228347" header="0.5118110236220472" footer="0.5118110236220472"/>
  <pageSetup fitToHeight="0" fitToWidth="1" horizontalDpi="600" verticalDpi="600" orientation="landscape" paperSize="9" scale="50" r:id="rId2"/>
  <headerFooter alignWithMargins="0">
    <oddHeader>&amp;C&amp;"Times New Roman,Normalny"Plan i wykonanie dochodów budżetu Gminy Golczewo za I półrocze 2006 r. wg klasyfikacji budżetowej (w zł)&amp;R&amp;"Times New Roman,Normalny"Załącznik nr 1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03"/>
  <sheetViews>
    <sheetView view="pageBreakPreview" zoomScale="60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5.57421875" style="17" customWidth="1"/>
    <col min="2" max="2" width="8.28125" style="17" customWidth="1"/>
    <col min="3" max="3" width="7.140625" style="17" customWidth="1"/>
    <col min="4" max="4" width="61.8515625" style="17" customWidth="1"/>
    <col min="5" max="5" width="18.00390625" style="17" customWidth="1"/>
    <col min="6" max="6" width="18.140625" style="17" customWidth="1"/>
    <col min="7" max="7" width="9.7109375" style="17" customWidth="1"/>
    <col min="8" max="8" width="18.00390625" style="17" customWidth="1"/>
    <col min="9" max="9" width="18.140625" style="17" customWidth="1"/>
    <col min="10" max="10" width="9.7109375" style="17" customWidth="1"/>
    <col min="11" max="12" width="16.7109375" style="17" customWidth="1"/>
    <col min="13" max="13" width="9.7109375" style="17" customWidth="1"/>
    <col min="14" max="15" width="16.7109375" style="17" customWidth="1"/>
    <col min="16" max="16" width="9.7109375" style="17" customWidth="1"/>
    <col min="17" max="16384" width="9.140625" style="17" customWidth="1"/>
  </cols>
  <sheetData>
    <row r="1" spans="1:155" s="38" customFormat="1" ht="28.5" customHeight="1" thickBot="1" thickTop="1">
      <c r="A1" s="258" t="s">
        <v>0</v>
      </c>
      <c r="B1" s="258" t="s">
        <v>1</v>
      </c>
      <c r="C1" s="258" t="s">
        <v>2</v>
      </c>
      <c r="D1" s="258" t="s">
        <v>3</v>
      </c>
      <c r="E1" s="263" t="s">
        <v>46</v>
      </c>
      <c r="F1" s="256"/>
      <c r="G1" s="264"/>
      <c r="H1" s="265" t="s">
        <v>83</v>
      </c>
      <c r="I1" s="256"/>
      <c r="J1" s="266"/>
      <c r="K1" s="255" t="s">
        <v>84</v>
      </c>
      <c r="L1" s="256"/>
      <c r="M1" s="266"/>
      <c r="N1" s="255" t="s">
        <v>87</v>
      </c>
      <c r="O1" s="256"/>
      <c r="P1" s="25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</row>
    <row r="2" spans="1:155" s="105" customFormat="1" ht="51.75" customHeight="1" thickBot="1">
      <c r="A2" s="267"/>
      <c r="B2" s="267"/>
      <c r="C2" s="267"/>
      <c r="D2" s="267"/>
      <c r="E2" s="97" t="s">
        <v>85</v>
      </c>
      <c r="F2" s="97" t="s">
        <v>86</v>
      </c>
      <c r="G2" s="98" t="s">
        <v>82</v>
      </c>
      <c r="H2" s="99" t="s">
        <v>81</v>
      </c>
      <c r="I2" s="97" t="s">
        <v>78</v>
      </c>
      <c r="J2" s="100" t="s">
        <v>82</v>
      </c>
      <c r="K2" s="101" t="s">
        <v>81</v>
      </c>
      <c r="L2" s="102" t="s">
        <v>78</v>
      </c>
      <c r="M2" s="103" t="s">
        <v>82</v>
      </c>
      <c r="N2" s="104" t="s">
        <v>81</v>
      </c>
      <c r="O2" s="56" t="s">
        <v>88</v>
      </c>
      <c r="P2" s="56" t="s">
        <v>82</v>
      </c>
      <c r="Q2" s="29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</row>
    <row r="3" spans="1:156" s="16" customFormat="1" ht="21.75" customHeight="1" thickBot="1">
      <c r="A3" s="106">
        <v>1</v>
      </c>
      <c r="B3" s="106">
        <v>2</v>
      </c>
      <c r="C3" s="106">
        <v>3</v>
      </c>
      <c r="D3" s="106">
        <v>4</v>
      </c>
      <c r="E3" s="2">
        <v>5</v>
      </c>
      <c r="F3" s="2">
        <v>6</v>
      </c>
      <c r="G3" s="107">
        <v>7</v>
      </c>
      <c r="H3" s="108">
        <v>8</v>
      </c>
      <c r="I3" s="2">
        <v>9</v>
      </c>
      <c r="J3" s="109">
        <v>10</v>
      </c>
      <c r="K3" s="110">
        <v>11</v>
      </c>
      <c r="L3" s="3">
        <v>12</v>
      </c>
      <c r="M3" s="107">
        <v>13</v>
      </c>
      <c r="N3" s="111">
        <v>14</v>
      </c>
      <c r="O3" s="1">
        <v>15</v>
      </c>
      <c r="P3" s="1">
        <v>16</v>
      </c>
      <c r="Q3" s="29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</row>
    <row r="4" spans="1:16" ht="20.25" thickBot="1" thickTop="1">
      <c r="A4" s="4" t="str">
        <f>"010"</f>
        <v>010</v>
      </c>
      <c r="B4" s="24"/>
      <c r="C4" s="24"/>
      <c r="D4" s="24" t="s">
        <v>20</v>
      </c>
      <c r="E4" s="180">
        <f>E5</f>
        <v>8200</v>
      </c>
      <c r="F4" s="181">
        <f>F5</f>
        <v>4407.37</v>
      </c>
      <c r="G4" s="112">
        <f aca="true" t="shared" si="0" ref="G4:G10">F4/E4</f>
        <v>0.5374841463414634</v>
      </c>
      <c r="H4" s="181">
        <f>H5</f>
        <v>8200</v>
      </c>
      <c r="I4" s="180">
        <f>I5</f>
        <v>4407.37</v>
      </c>
      <c r="J4" s="84">
        <f>I4/H4</f>
        <v>0.5374841463414634</v>
      </c>
      <c r="K4" s="114"/>
      <c r="L4" s="44"/>
      <c r="M4" s="115"/>
      <c r="N4" s="219"/>
      <c r="O4" s="220"/>
      <c r="P4" s="116"/>
    </row>
    <row r="5" spans="1:16" ht="18.75">
      <c r="A5" s="5"/>
      <c r="B5" s="15" t="str">
        <f>"01030"</f>
        <v>01030</v>
      </c>
      <c r="C5" s="15"/>
      <c r="D5" s="15" t="s">
        <v>42</v>
      </c>
      <c r="E5" s="182">
        <f>E6</f>
        <v>8200</v>
      </c>
      <c r="F5" s="183">
        <f>F6</f>
        <v>4407.37</v>
      </c>
      <c r="G5" s="113">
        <f t="shared" si="0"/>
        <v>0.5374841463414634</v>
      </c>
      <c r="H5" s="183">
        <f>H6</f>
        <v>8200</v>
      </c>
      <c r="I5" s="182">
        <f>I6</f>
        <v>4407.37</v>
      </c>
      <c r="J5" s="117">
        <f>I5/H5</f>
        <v>0.5374841463414634</v>
      </c>
      <c r="K5" s="197"/>
      <c r="L5" s="182"/>
      <c r="M5" s="118"/>
      <c r="N5" s="197"/>
      <c r="O5" s="182"/>
      <c r="P5" s="26"/>
    </row>
    <row r="6" spans="1:16" ht="38.25" thickBot="1">
      <c r="A6" s="5"/>
      <c r="B6" s="15"/>
      <c r="C6" s="169">
        <v>2850</v>
      </c>
      <c r="D6" s="147" t="s">
        <v>127</v>
      </c>
      <c r="E6" s="184">
        <v>8200</v>
      </c>
      <c r="F6" s="185">
        <v>4407.37</v>
      </c>
      <c r="G6" s="95">
        <f t="shared" si="0"/>
        <v>0.5374841463414634</v>
      </c>
      <c r="H6" s="185">
        <v>8200</v>
      </c>
      <c r="I6" s="184">
        <v>4407.37</v>
      </c>
      <c r="J6" s="119">
        <f>I6/H6</f>
        <v>0.5374841463414634</v>
      </c>
      <c r="K6" s="198"/>
      <c r="L6" s="184"/>
      <c r="M6" s="120"/>
      <c r="N6" s="198"/>
      <c r="O6" s="184"/>
      <c r="P6" s="10"/>
    </row>
    <row r="7" spans="1:16" ht="19.5" thickBot="1">
      <c r="A7" s="11">
        <v>600</v>
      </c>
      <c r="B7" s="12"/>
      <c r="C7" s="12"/>
      <c r="D7" s="12" t="s">
        <v>22</v>
      </c>
      <c r="E7" s="186">
        <f>E8+E11</f>
        <v>174253</v>
      </c>
      <c r="F7" s="186">
        <f>F8+F11</f>
        <v>94369.62</v>
      </c>
      <c r="G7" s="83">
        <f t="shared" si="0"/>
        <v>0.541566687517575</v>
      </c>
      <c r="H7" s="192">
        <f>H8+H11</f>
        <v>165253</v>
      </c>
      <c r="I7" s="186">
        <f>I8+I11</f>
        <v>92623.62</v>
      </c>
      <c r="J7" s="84">
        <f>I7/H7</f>
        <v>0.5604958457637682</v>
      </c>
      <c r="K7" s="199"/>
      <c r="L7" s="186"/>
      <c r="M7" s="159"/>
      <c r="N7" s="192">
        <f>N8+N11</f>
        <v>9000</v>
      </c>
      <c r="O7" s="186">
        <f>O8+O11</f>
        <v>1746</v>
      </c>
      <c r="P7" s="14">
        <f>O7/N7</f>
        <v>0.194</v>
      </c>
    </row>
    <row r="8" spans="1:16" ht="18.75">
      <c r="A8" s="7"/>
      <c r="B8" s="15">
        <v>60014</v>
      </c>
      <c r="C8" s="15"/>
      <c r="D8" s="15" t="s">
        <v>18</v>
      </c>
      <c r="E8" s="182">
        <f>SUM(E9:E10)</f>
        <v>9000</v>
      </c>
      <c r="F8" s="182">
        <f>SUM(F9:F10)</f>
        <v>1746</v>
      </c>
      <c r="G8" s="113">
        <f t="shared" si="0"/>
        <v>0.194</v>
      </c>
      <c r="H8" s="182"/>
      <c r="I8" s="182"/>
      <c r="J8" s="125"/>
      <c r="K8" s="200"/>
      <c r="L8" s="193"/>
      <c r="M8" s="156"/>
      <c r="N8" s="183">
        <f>SUM(N9:N10)</f>
        <v>9000</v>
      </c>
      <c r="O8" s="182">
        <f>SUM(O9:O10)</f>
        <v>1746</v>
      </c>
      <c r="P8" s="8">
        <f>O8/N8</f>
        <v>0.194</v>
      </c>
    </row>
    <row r="9" spans="1:16" ht="20.25" customHeight="1">
      <c r="A9" s="7"/>
      <c r="B9" s="15"/>
      <c r="C9" s="15">
        <v>4210</v>
      </c>
      <c r="D9" s="9" t="s">
        <v>43</v>
      </c>
      <c r="E9" s="184">
        <v>1000</v>
      </c>
      <c r="F9" s="185">
        <v>131</v>
      </c>
      <c r="G9" s="95">
        <f t="shared" si="0"/>
        <v>0.131</v>
      </c>
      <c r="H9" s="185"/>
      <c r="I9" s="184"/>
      <c r="J9" s="119"/>
      <c r="K9" s="200"/>
      <c r="L9" s="193"/>
      <c r="M9" s="157"/>
      <c r="N9" s="185">
        <v>1000</v>
      </c>
      <c r="O9" s="184">
        <v>131</v>
      </c>
      <c r="P9" s="10">
        <f>O9/N9</f>
        <v>0.131</v>
      </c>
    </row>
    <row r="10" spans="1:16" ht="18.75">
      <c r="A10" s="7"/>
      <c r="B10" s="15"/>
      <c r="C10" s="15">
        <v>4300</v>
      </c>
      <c r="D10" s="9" t="s">
        <v>45</v>
      </c>
      <c r="E10" s="185">
        <v>8000</v>
      </c>
      <c r="F10" s="185">
        <v>1615</v>
      </c>
      <c r="G10" s="95">
        <f t="shared" si="0"/>
        <v>0.201875</v>
      </c>
      <c r="H10" s="185"/>
      <c r="I10" s="185"/>
      <c r="J10" s="119"/>
      <c r="K10" s="200"/>
      <c r="L10" s="193"/>
      <c r="M10" s="158"/>
      <c r="N10" s="185">
        <v>8000</v>
      </c>
      <c r="O10" s="185">
        <v>1615</v>
      </c>
      <c r="P10" s="155">
        <f>O10/N10</f>
        <v>0.201875</v>
      </c>
    </row>
    <row r="11" spans="1:16" ht="21" customHeight="1">
      <c r="A11" s="7"/>
      <c r="B11" s="22">
        <v>60016</v>
      </c>
      <c r="C11" s="22"/>
      <c r="D11" s="22" t="s">
        <v>33</v>
      </c>
      <c r="E11" s="187">
        <f>SUM(E12:E22)</f>
        <v>165253</v>
      </c>
      <c r="F11" s="187">
        <f>SUM(F12:F22)</f>
        <v>92623.62</v>
      </c>
      <c r="G11" s="94">
        <f aca="true" t="shared" si="1" ref="G11:G25">F11/E11</f>
        <v>0.5604958457637682</v>
      </c>
      <c r="H11" s="187">
        <f>SUM(H12:H22)</f>
        <v>165253</v>
      </c>
      <c r="I11" s="187">
        <f>SUM(I12:I22)</f>
        <v>92623.62</v>
      </c>
      <c r="J11" s="79">
        <f aca="true" t="shared" si="2" ref="J11:J25">I11/H11</f>
        <v>0.5604958457637682</v>
      </c>
      <c r="K11" s="201"/>
      <c r="L11" s="196"/>
      <c r="M11" s="126"/>
      <c r="N11" s="201"/>
      <c r="O11" s="196"/>
      <c r="P11" s="127"/>
    </row>
    <row r="12" spans="1:16" ht="18.75">
      <c r="A12" s="7"/>
      <c r="B12" s="15"/>
      <c r="C12" s="15">
        <v>3020</v>
      </c>
      <c r="D12" s="9" t="s">
        <v>128</v>
      </c>
      <c r="E12" s="185">
        <v>6000</v>
      </c>
      <c r="F12" s="185">
        <v>4938.4</v>
      </c>
      <c r="G12" s="95">
        <f aca="true" t="shared" si="3" ref="G12:G17">F12/E12</f>
        <v>0.8230666666666666</v>
      </c>
      <c r="H12" s="185">
        <v>6000</v>
      </c>
      <c r="I12" s="185">
        <v>4938.4</v>
      </c>
      <c r="J12" s="119">
        <f aca="true" t="shared" si="4" ref="J12:J17">I12/H12</f>
        <v>0.8230666666666666</v>
      </c>
      <c r="K12" s="200"/>
      <c r="L12" s="193"/>
      <c r="M12" s="138"/>
      <c r="N12" s="200"/>
      <c r="O12" s="193"/>
      <c r="P12" s="28"/>
    </row>
    <row r="13" spans="1:16" ht="18.75">
      <c r="A13" s="7"/>
      <c r="B13" s="15"/>
      <c r="C13" s="15">
        <v>4010</v>
      </c>
      <c r="D13" s="9" t="s">
        <v>47</v>
      </c>
      <c r="E13" s="185">
        <v>58400</v>
      </c>
      <c r="F13" s="185">
        <v>23754.94</v>
      </c>
      <c r="G13" s="95">
        <f t="shared" si="3"/>
        <v>0.4067626712328767</v>
      </c>
      <c r="H13" s="185">
        <v>58400</v>
      </c>
      <c r="I13" s="185">
        <v>23754.94</v>
      </c>
      <c r="J13" s="119">
        <f t="shared" si="4"/>
        <v>0.4067626712328767</v>
      </c>
      <c r="K13" s="200"/>
      <c r="L13" s="193"/>
      <c r="M13" s="138"/>
      <c r="N13" s="200"/>
      <c r="O13" s="193"/>
      <c r="P13" s="28"/>
    </row>
    <row r="14" spans="1:16" ht="18.75">
      <c r="A14" s="7"/>
      <c r="B14" s="15"/>
      <c r="C14" s="15">
        <v>4040</v>
      </c>
      <c r="D14" s="9" t="s">
        <v>48</v>
      </c>
      <c r="E14" s="185">
        <v>7900</v>
      </c>
      <c r="F14" s="185">
        <v>7891.53</v>
      </c>
      <c r="G14" s="95">
        <f t="shared" si="3"/>
        <v>0.9989278481012658</v>
      </c>
      <c r="H14" s="185">
        <v>7900</v>
      </c>
      <c r="I14" s="185">
        <v>7891.53</v>
      </c>
      <c r="J14" s="119">
        <f t="shared" si="4"/>
        <v>0.9989278481012658</v>
      </c>
      <c r="K14" s="200"/>
      <c r="L14" s="193"/>
      <c r="M14" s="138"/>
      <c r="N14" s="200"/>
      <c r="O14" s="193"/>
      <c r="P14" s="28"/>
    </row>
    <row r="15" spans="1:16" ht="18.75">
      <c r="A15" s="7"/>
      <c r="B15" s="15"/>
      <c r="C15" s="15">
        <v>4110</v>
      </c>
      <c r="D15" s="9" t="s">
        <v>49</v>
      </c>
      <c r="E15" s="185">
        <v>11500</v>
      </c>
      <c r="F15" s="185">
        <v>4424.21</v>
      </c>
      <c r="G15" s="95">
        <f t="shared" si="3"/>
        <v>0.38471391304347824</v>
      </c>
      <c r="H15" s="185">
        <v>11500</v>
      </c>
      <c r="I15" s="185">
        <v>4424.21</v>
      </c>
      <c r="J15" s="119">
        <f t="shared" si="4"/>
        <v>0.38471391304347824</v>
      </c>
      <c r="K15" s="200"/>
      <c r="L15" s="193"/>
      <c r="M15" s="138"/>
      <c r="N15" s="200"/>
      <c r="O15" s="193"/>
      <c r="P15" s="28"/>
    </row>
    <row r="16" spans="1:16" ht="18.75">
      <c r="A16" s="7"/>
      <c r="B16" s="15"/>
      <c r="C16" s="15">
        <v>4120</v>
      </c>
      <c r="D16" s="9" t="s">
        <v>50</v>
      </c>
      <c r="E16" s="185">
        <v>3200</v>
      </c>
      <c r="F16" s="185">
        <v>1434.15</v>
      </c>
      <c r="G16" s="95">
        <f t="shared" si="3"/>
        <v>0.44817187500000005</v>
      </c>
      <c r="H16" s="185">
        <v>3200</v>
      </c>
      <c r="I16" s="185">
        <v>1434.15</v>
      </c>
      <c r="J16" s="119">
        <f t="shared" si="4"/>
        <v>0.44817187500000005</v>
      </c>
      <c r="K16" s="200"/>
      <c r="L16" s="193"/>
      <c r="M16" s="138"/>
      <c r="N16" s="200"/>
      <c r="O16" s="193"/>
      <c r="P16" s="28"/>
    </row>
    <row r="17" spans="1:16" ht="18.75">
      <c r="A17" s="7"/>
      <c r="B17" s="15"/>
      <c r="C17" s="15">
        <v>4140</v>
      </c>
      <c r="D17" s="9" t="s">
        <v>51</v>
      </c>
      <c r="E17" s="185">
        <v>4000</v>
      </c>
      <c r="F17" s="185">
        <v>1923.41</v>
      </c>
      <c r="G17" s="95">
        <f t="shared" si="3"/>
        <v>0.4808525</v>
      </c>
      <c r="H17" s="185">
        <v>4000</v>
      </c>
      <c r="I17" s="185">
        <v>1923.41</v>
      </c>
      <c r="J17" s="119">
        <f t="shared" si="4"/>
        <v>0.4808525</v>
      </c>
      <c r="K17" s="200"/>
      <c r="L17" s="193"/>
      <c r="M17" s="138"/>
      <c r="N17" s="200"/>
      <c r="O17" s="193"/>
      <c r="P17" s="28"/>
    </row>
    <row r="18" spans="1:16" ht="18.75">
      <c r="A18" s="7"/>
      <c r="B18" s="15"/>
      <c r="C18" s="15">
        <v>4210</v>
      </c>
      <c r="D18" s="9" t="s">
        <v>43</v>
      </c>
      <c r="E18" s="184">
        <v>3000</v>
      </c>
      <c r="F18" s="185">
        <v>0</v>
      </c>
      <c r="G18" s="95">
        <f t="shared" si="1"/>
        <v>0</v>
      </c>
      <c r="H18" s="185">
        <v>3000</v>
      </c>
      <c r="I18" s="184">
        <v>0</v>
      </c>
      <c r="J18" s="119">
        <f t="shared" si="2"/>
        <v>0</v>
      </c>
      <c r="K18" s="200"/>
      <c r="L18" s="193"/>
      <c r="M18" s="122"/>
      <c r="N18" s="200"/>
      <c r="O18" s="193"/>
      <c r="P18" s="28"/>
    </row>
    <row r="19" spans="1:16" ht="18.75">
      <c r="A19" s="7"/>
      <c r="B19" s="15"/>
      <c r="C19" s="15">
        <v>4270</v>
      </c>
      <c r="D19" s="9" t="s">
        <v>44</v>
      </c>
      <c r="E19" s="184">
        <v>2000</v>
      </c>
      <c r="F19" s="185">
        <v>0</v>
      </c>
      <c r="G19" s="95">
        <f t="shared" si="1"/>
        <v>0</v>
      </c>
      <c r="H19" s="185">
        <v>2000</v>
      </c>
      <c r="I19" s="184">
        <v>0</v>
      </c>
      <c r="J19" s="119">
        <f t="shared" si="2"/>
        <v>0</v>
      </c>
      <c r="K19" s="200"/>
      <c r="L19" s="193"/>
      <c r="M19" s="122"/>
      <c r="N19" s="200"/>
      <c r="O19" s="193"/>
      <c r="P19" s="28"/>
    </row>
    <row r="20" spans="1:16" ht="18.75">
      <c r="A20" s="7"/>
      <c r="B20" s="15"/>
      <c r="C20" s="15">
        <v>4300</v>
      </c>
      <c r="D20" s="9" t="s">
        <v>45</v>
      </c>
      <c r="E20" s="184">
        <v>16353</v>
      </c>
      <c r="F20" s="185">
        <v>12966.7</v>
      </c>
      <c r="G20" s="95">
        <f t="shared" si="1"/>
        <v>0.7929248455940806</v>
      </c>
      <c r="H20" s="185">
        <v>16353</v>
      </c>
      <c r="I20" s="184">
        <v>12966.7</v>
      </c>
      <c r="J20" s="119">
        <f t="shared" si="2"/>
        <v>0.7929248455940806</v>
      </c>
      <c r="K20" s="200"/>
      <c r="L20" s="193"/>
      <c r="M20" s="122"/>
      <c r="N20" s="200"/>
      <c r="O20" s="193"/>
      <c r="P20" s="28"/>
    </row>
    <row r="21" spans="1:16" ht="18.75">
      <c r="A21" s="7"/>
      <c r="B21" s="15"/>
      <c r="C21" s="15">
        <v>4440</v>
      </c>
      <c r="D21" s="9" t="s">
        <v>129</v>
      </c>
      <c r="E21" s="184">
        <v>2900</v>
      </c>
      <c r="F21" s="185">
        <v>0</v>
      </c>
      <c r="G21" s="95">
        <f t="shared" si="1"/>
        <v>0</v>
      </c>
      <c r="H21" s="185">
        <v>2900</v>
      </c>
      <c r="I21" s="184">
        <v>0</v>
      </c>
      <c r="J21" s="119">
        <f t="shared" si="2"/>
        <v>0</v>
      </c>
      <c r="K21" s="200"/>
      <c r="L21" s="193"/>
      <c r="M21" s="122"/>
      <c r="N21" s="200"/>
      <c r="O21" s="193"/>
      <c r="P21" s="28"/>
    </row>
    <row r="22" spans="1:16" ht="19.5" thickBot="1">
      <c r="A22" s="7"/>
      <c r="B22" s="15"/>
      <c r="C22" s="15">
        <v>6050</v>
      </c>
      <c r="D22" s="9" t="s">
        <v>143</v>
      </c>
      <c r="E22" s="184">
        <v>50000</v>
      </c>
      <c r="F22" s="184">
        <v>35290.28</v>
      </c>
      <c r="G22" s="95">
        <f t="shared" si="1"/>
        <v>0.7058055999999999</v>
      </c>
      <c r="H22" s="188">
        <v>50000</v>
      </c>
      <c r="I22" s="193">
        <v>35290.28</v>
      </c>
      <c r="J22" s="119">
        <f t="shared" si="2"/>
        <v>0.7058055999999999</v>
      </c>
      <c r="K22" s="200"/>
      <c r="L22" s="193"/>
      <c r="M22" s="122"/>
      <c r="N22" s="200"/>
      <c r="O22" s="193"/>
      <c r="P22" s="28"/>
    </row>
    <row r="23" spans="1:16" ht="19.5" thickBot="1">
      <c r="A23" s="11">
        <v>630</v>
      </c>
      <c r="B23" s="12"/>
      <c r="C23" s="12"/>
      <c r="D23" s="12" t="s">
        <v>23</v>
      </c>
      <c r="E23" s="186">
        <f>E24</f>
        <v>35200</v>
      </c>
      <c r="F23" s="186">
        <f>F24</f>
        <v>4130.41</v>
      </c>
      <c r="G23" s="83">
        <f t="shared" si="1"/>
        <v>0.11734119318181818</v>
      </c>
      <c r="H23" s="186">
        <f>H24</f>
        <v>35200</v>
      </c>
      <c r="I23" s="186">
        <f>I24</f>
        <v>4130.41</v>
      </c>
      <c r="J23" s="84">
        <f t="shared" si="2"/>
        <v>0.11734119318181818</v>
      </c>
      <c r="K23" s="202"/>
      <c r="L23" s="203"/>
      <c r="M23" s="128"/>
      <c r="N23" s="202"/>
      <c r="O23" s="203"/>
      <c r="P23" s="129"/>
    </row>
    <row r="24" spans="1:16" ht="18.75">
      <c r="A24" s="5"/>
      <c r="B24" s="15">
        <v>63095</v>
      </c>
      <c r="C24" s="25"/>
      <c r="D24" s="15" t="s">
        <v>4</v>
      </c>
      <c r="E24" s="182">
        <f>SUM(E25:E27)</f>
        <v>35200</v>
      </c>
      <c r="F24" s="182">
        <f>SUM(F25:F27)</f>
        <v>4130.41</v>
      </c>
      <c r="G24" s="113">
        <f t="shared" si="1"/>
        <v>0.11734119318181818</v>
      </c>
      <c r="H24" s="182">
        <f>SUM(H25:H27)</f>
        <v>35200</v>
      </c>
      <c r="I24" s="182">
        <f>SUM(I25:I27)</f>
        <v>4130.41</v>
      </c>
      <c r="J24" s="125">
        <f aca="true" t="shared" si="5" ref="J24:J32">I24/H24</f>
        <v>0.11734119318181818</v>
      </c>
      <c r="K24" s="200"/>
      <c r="L24" s="193"/>
      <c r="M24" s="138"/>
      <c r="N24" s="200"/>
      <c r="O24" s="193"/>
      <c r="P24" s="28"/>
    </row>
    <row r="25" spans="1:16" ht="18.75">
      <c r="A25" s="7"/>
      <c r="B25" s="15"/>
      <c r="C25" s="15">
        <v>4210</v>
      </c>
      <c r="D25" s="9" t="s">
        <v>43</v>
      </c>
      <c r="E25" s="184">
        <v>2100</v>
      </c>
      <c r="F25" s="185">
        <v>987.59</v>
      </c>
      <c r="G25" s="95">
        <f t="shared" si="1"/>
        <v>0.4702809523809524</v>
      </c>
      <c r="H25" s="185">
        <v>2100</v>
      </c>
      <c r="I25" s="184">
        <v>987.59</v>
      </c>
      <c r="J25" s="119">
        <f t="shared" si="2"/>
        <v>0.4702809523809524</v>
      </c>
      <c r="K25" s="200"/>
      <c r="L25" s="193"/>
      <c r="M25" s="122"/>
      <c r="N25" s="200"/>
      <c r="O25" s="193"/>
      <c r="P25" s="28"/>
    </row>
    <row r="26" spans="1:16" ht="18.75">
      <c r="A26" s="7"/>
      <c r="B26" s="15"/>
      <c r="C26" s="15">
        <v>4300</v>
      </c>
      <c r="D26" s="9" t="s">
        <v>45</v>
      </c>
      <c r="E26" s="184">
        <v>8100</v>
      </c>
      <c r="F26" s="185">
        <v>3142.82</v>
      </c>
      <c r="G26" s="95">
        <f>F26/E26</f>
        <v>0.3880024691358025</v>
      </c>
      <c r="H26" s="185">
        <v>8100</v>
      </c>
      <c r="I26" s="184">
        <v>3142.82</v>
      </c>
      <c r="J26" s="119">
        <f t="shared" si="5"/>
        <v>0.3880024691358025</v>
      </c>
      <c r="K26" s="200"/>
      <c r="L26" s="193"/>
      <c r="M26" s="122"/>
      <c r="N26" s="200"/>
      <c r="O26" s="193"/>
      <c r="P26" s="28"/>
    </row>
    <row r="27" spans="1:16" ht="38.25" thickBot="1">
      <c r="A27" s="7"/>
      <c r="B27" s="15"/>
      <c r="C27" s="169">
        <v>6060</v>
      </c>
      <c r="D27" s="147" t="s">
        <v>106</v>
      </c>
      <c r="E27" s="184">
        <v>25000</v>
      </c>
      <c r="F27" s="185">
        <v>0</v>
      </c>
      <c r="G27" s="95">
        <f>F27/E27</f>
        <v>0</v>
      </c>
      <c r="H27" s="185">
        <v>25000</v>
      </c>
      <c r="I27" s="184">
        <v>0</v>
      </c>
      <c r="J27" s="119">
        <f>I27/H27</f>
        <v>0</v>
      </c>
      <c r="K27" s="200"/>
      <c r="L27" s="193"/>
      <c r="M27" s="122"/>
      <c r="N27" s="200"/>
      <c r="O27" s="193"/>
      <c r="P27" s="28"/>
    </row>
    <row r="28" spans="1:16" ht="19.5" thickBot="1">
      <c r="A28" s="11">
        <v>700</v>
      </c>
      <c r="B28" s="12"/>
      <c r="C28" s="12"/>
      <c r="D28" s="12" t="s">
        <v>5</v>
      </c>
      <c r="E28" s="186">
        <f>E29+E32</f>
        <v>288700</v>
      </c>
      <c r="F28" s="186">
        <f>F29+F32</f>
        <v>92368.01999999999</v>
      </c>
      <c r="G28" s="83">
        <f aca="true" t="shared" si="6" ref="G28:G33">F28/E28</f>
        <v>0.31994464842396947</v>
      </c>
      <c r="H28" s="186">
        <f>H29+H32</f>
        <v>288700</v>
      </c>
      <c r="I28" s="186">
        <f>I29+I32</f>
        <v>92368.01999999999</v>
      </c>
      <c r="J28" s="84">
        <f t="shared" si="5"/>
        <v>0.31994464842396947</v>
      </c>
      <c r="K28" s="199"/>
      <c r="L28" s="186"/>
      <c r="M28" s="124"/>
      <c r="N28" s="199"/>
      <c r="O28" s="186"/>
      <c r="P28" s="14"/>
    </row>
    <row r="29" spans="1:16" ht="18.75">
      <c r="A29" s="7"/>
      <c r="B29" s="15">
        <v>70005</v>
      </c>
      <c r="C29" s="15"/>
      <c r="D29" s="15" t="s">
        <v>17</v>
      </c>
      <c r="E29" s="182">
        <f>SUM(E30:E31)</f>
        <v>201600</v>
      </c>
      <c r="F29" s="183">
        <f>SUM(F30:F31)</f>
        <v>49638.729999999996</v>
      </c>
      <c r="G29" s="113">
        <f t="shared" si="6"/>
        <v>0.2462238591269841</v>
      </c>
      <c r="H29" s="183">
        <f>SUM(H30:H31)</f>
        <v>201600</v>
      </c>
      <c r="I29" s="182">
        <f>SUM(I30:I31)</f>
        <v>49638.729999999996</v>
      </c>
      <c r="J29" s="125">
        <f t="shared" si="5"/>
        <v>0.2462238591269841</v>
      </c>
      <c r="K29" s="200"/>
      <c r="L29" s="193"/>
      <c r="M29" s="122"/>
      <c r="N29" s="200"/>
      <c r="O29" s="193"/>
      <c r="P29" s="28"/>
    </row>
    <row r="30" spans="1:16" ht="18.75">
      <c r="A30" s="7"/>
      <c r="B30" s="15"/>
      <c r="C30" s="15">
        <v>4270</v>
      </c>
      <c r="D30" s="9" t="s">
        <v>44</v>
      </c>
      <c r="E30" s="184">
        <v>111600</v>
      </c>
      <c r="F30" s="185">
        <v>14612.1</v>
      </c>
      <c r="G30" s="95">
        <f t="shared" si="6"/>
        <v>0.13093279569892474</v>
      </c>
      <c r="H30" s="185">
        <v>111600</v>
      </c>
      <c r="I30" s="184">
        <v>14612.1</v>
      </c>
      <c r="J30" s="119">
        <f t="shared" si="5"/>
        <v>0.13093279569892474</v>
      </c>
      <c r="K30" s="200"/>
      <c r="L30" s="193"/>
      <c r="M30" s="122"/>
      <c r="N30" s="200"/>
      <c r="O30" s="193"/>
      <c r="P30" s="28"/>
    </row>
    <row r="31" spans="1:16" ht="18.75">
      <c r="A31" s="7"/>
      <c r="B31" s="15"/>
      <c r="C31" s="169">
        <v>4300</v>
      </c>
      <c r="D31" s="147" t="s">
        <v>45</v>
      </c>
      <c r="E31" s="184">
        <v>90000</v>
      </c>
      <c r="F31" s="185">
        <v>35026.63</v>
      </c>
      <c r="G31" s="95">
        <f t="shared" si="6"/>
        <v>0.38918477777777777</v>
      </c>
      <c r="H31" s="185">
        <v>90000</v>
      </c>
      <c r="I31" s="184">
        <v>35026.63</v>
      </c>
      <c r="J31" s="119">
        <f t="shared" si="5"/>
        <v>0.38918477777777777</v>
      </c>
      <c r="K31" s="200"/>
      <c r="L31" s="193"/>
      <c r="M31" s="122"/>
      <c r="N31" s="200"/>
      <c r="O31" s="193"/>
      <c r="P31" s="28"/>
    </row>
    <row r="32" spans="1:16" ht="18.75">
      <c r="A32" s="7"/>
      <c r="B32" s="22">
        <v>70095</v>
      </c>
      <c r="C32" s="22"/>
      <c r="D32" s="22" t="s">
        <v>4</v>
      </c>
      <c r="E32" s="187">
        <f>SUM(E33:E38)</f>
        <v>87100</v>
      </c>
      <c r="F32" s="187">
        <f>SUM(F33:F38)</f>
        <v>42729.29</v>
      </c>
      <c r="G32" s="94">
        <f t="shared" si="6"/>
        <v>0.49057738231917336</v>
      </c>
      <c r="H32" s="187">
        <f>SUM(H33:H38)</f>
        <v>87100</v>
      </c>
      <c r="I32" s="187">
        <f>SUM(I33:I38)</f>
        <v>42729.29</v>
      </c>
      <c r="J32" s="79">
        <f t="shared" si="5"/>
        <v>0.49057738231917336</v>
      </c>
      <c r="K32" s="201"/>
      <c r="L32" s="196"/>
      <c r="M32" s="126"/>
      <c r="N32" s="201"/>
      <c r="O32" s="196"/>
      <c r="P32" s="127"/>
    </row>
    <row r="33" spans="1:16" ht="18.75">
      <c r="A33" s="7"/>
      <c r="B33" s="15"/>
      <c r="C33" s="15">
        <v>4210</v>
      </c>
      <c r="D33" s="9" t="s">
        <v>43</v>
      </c>
      <c r="E33" s="184">
        <v>19000</v>
      </c>
      <c r="F33" s="184">
        <v>16939.48</v>
      </c>
      <c r="G33" s="95">
        <f t="shared" si="6"/>
        <v>0.8915515789473684</v>
      </c>
      <c r="H33" s="184">
        <v>19000</v>
      </c>
      <c r="I33" s="184">
        <v>16939.48</v>
      </c>
      <c r="J33" s="119">
        <f>I33/H33</f>
        <v>0.8915515789473684</v>
      </c>
      <c r="K33" s="200"/>
      <c r="L33" s="193"/>
      <c r="M33" s="122"/>
      <c r="N33" s="200"/>
      <c r="O33" s="193"/>
      <c r="P33" s="28"/>
    </row>
    <row r="34" spans="1:16" ht="18.75">
      <c r="A34" s="7"/>
      <c r="B34" s="15"/>
      <c r="C34" s="15">
        <v>4260</v>
      </c>
      <c r="D34" s="9" t="s">
        <v>52</v>
      </c>
      <c r="E34" s="184">
        <v>2000</v>
      </c>
      <c r="F34" s="184">
        <v>702.22</v>
      </c>
      <c r="G34" s="95">
        <f aca="true" t="shared" si="7" ref="G34:G39">F34/E34</f>
        <v>0.35111000000000003</v>
      </c>
      <c r="H34" s="184">
        <v>2000</v>
      </c>
      <c r="I34" s="184">
        <v>702.22</v>
      </c>
      <c r="J34" s="119">
        <f>I34/H34</f>
        <v>0.35111000000000003</v>
      </c>
      <c r="K34" s="200"/>
      <c r="L34" s="193"/>
      <c r="M34" s="122"/>
      <c r="N34" s="200"/>
      <c r="O34" s="193"/>
      <c r="P34" s="28"/>
    </row>
    <row r="35" spans="1:16" ht="18.75">
      <c r="A35" s="7"/>
      <c r="B35" s="15"/>
      <c r="C35" s="15">
        <v>4270</v>
      </c>
      <c r="D35" s="9" t="s">
        <v>44</v>
      </c>
      <c r="E35" s="184">
        <v>40900</v>
      </c>
      <c r="F35" s="184">
        <v>12077.59</v>
      </c>
      <c r="G35" s="95">
        <f t="shared" si="7"/>
        <v>0.2952955990220049</v>
      </c>
      <c r="H35" s="184">
        <v>40900</v>
      </c>
      <c r="I35" s="184">
        <v>12077.59</v>
      </c>
      <c r="J35" s="119">
        <f>I35/H35</f>
        <v>0.2952955990220049</v>
      </c>
      <c r="K35" s="200"/>
      <c r="L35" s="193"/>
      <c r="M35" s="122"/>
      <c r="N35" s="200"/>
      <c r="O35" s="193"/>
      <c r="P35" s="28"/>
    </row>
    <row r="36" spans="1:16" ht="18.75">
      <c r="A36" s="7"/>
      <c r="B36" s="15"/>
      <c r="C36" s="15">
        <v>4300</v>
      </c>
      <c r="D36" s="9" t="s">
        <v>45</v>
      </c>
      <c r="E36" s="184">
        <v>4200</v>
      </c>
      <c r="F36" s="184">
        <v>1098</v>
      </c>
      <c r="G36" s="95">
        <f t="shared" si="7"/>
        <v>0.26142857142857145</v>
      </c>
      <c r="H36" s="184">
        <v>4200</v>
      </c>
      <c r="I36" s="184">
        <v>1098</v>
      </c>
      <c r="J36" s="119">
        <f>I36/H36</f>
        <v>0.26142857142857145</v>
      </c>
      <c r="K36" s="200"/>
      <c r="L36" s="193"/>
      <c r="M36" s="122"/>
      <c r="N36" s="200"/>
      <c r="O36" s="193"/>
      <c r="P36" s="28"/>
    </row>
    <row r="37" spans="1:16" ht="18.75">
      <c r="A37" s="7"/>
      <c r="B37" s="15"/>
      <c r="C37" s="15">
        <v>4430</v>
      </c>
      <c r="D37" s="9" t="s">
        <v>53</v>
      </c>
      <c r="E37" s="184">
        <v>8000</v>
      </c>
      <c r="F37" s="184">
        <v>5712</v>
      </c>
      <c r="G37" s="95">
        <f t="shared" si="7"/>
        <v>0.714</v>
      </c>
      <c r="H37" s="184">
        <v>8000</v>
      </c>
      <c r="I37" s="184">
        <v>5712</v>
      </c>
      <c r="J37" s="119">
        <f aca="true" t="shared" si="8" ref="J37:J47">I37/H37</f>
        <v>0.714</v>
      </c>
      <c r="K37" s="200"/>
      <c r="L37" s="193"/>
      <c r="M37" s="122"/>
      <c r="N37" s="200"/>
      <c r="O37" s="193"/>
      <c r="P37" s="28"/>
    </row>
    <row r="38" spans="1:16" ht="19.5" thickBot="1">
      <c r="A38" s="7"/>
      <c r="B38" s="15"/>
      <c r="C38" s="169">
        <v>6050</v>
      </c>
      <c r="D38" s="147" t="s">
        <v>73</v>
      </c>
      <c r="E38" s="184">
        <v>13000</v>
      </c>
      <c r="F38" s="184">
        <v>6200</v>
      </c>
      <c r="G38" s="95">
        <f t="shared" si="7"/>
        <v>0.47692307692307695</v>
      </c>
      <c r="H38" s="184">
        <v>13000</v>
      </c>
      <c r="I38" s="184">
        <v>6200</v>
      </c>
      <c r="J38" s="119">
        <f t="shared" si="8"/>
        <v>0.47692307692307695</v>
      </c>
      <c r="K38" s="200"/>
      <c r="L38" s="193"/>
      <c r="M38" s="122"/>
      <c r="N38" s="200"/>
      <c r="O38" s="193"/>
      <c r="P38" s="28"/>
    </row>
    <row r="39" spans="1:16" ht="19.5" thickBot="1">
      <c r="A39" s="11">
        <v>710</v>
      </c>
      <c r="B39" s="12"/>
      <c r="C39" s="12"/>
      <c r="D39" s="12" t="s">
        <v>34</v>
      </c>
      <c r="E39" s="186">
        <f>E40+E42+E44</f>
        <v>42000</v>
      </c>
      <c r="F39" s="186">
        <f>F40+F42+F44</f>
        <v>10453.14</v>
      </c>
      <c r="G39" s="83">
        <f t="shared" si="7"/>
        <v>0.2488842857142857</v>
      </c>
      <c r="H39" s="186">
        <f>H40+H42+H44</f>
        <v>42000</v>
      </c>
      <c r="I39" s="186">
        <f>I40+I42+I44</f>
        <v>10453.14</v>
      </c>
      <c r="J39" s="84">
        <f t="shared" si="8"/>
        <v>0.2488842857142857</v>
      </c>
      <c r="K39" s="199"/>
      <c r="L39" s="186"/>
      <c r="M39" s="124"/>
      <c r="N39" s="199"/>
      <c r="O39" s="186"/>
      <c r="P39" s="146"/>
    </row>
    <row r="40" spans="1:16" ht="18.75">
      <c r="A40" s="7"/>
      <c r="B40" s="15">
        <v>71004</v>
      </c>
      <c r="C40" s="15"/>
      <c r="D40" s="15" t="s">
        <v>54</v>
      </c>
      <c r="E40" s="182">
        <f>E41</f>
        <v>15000</v>
      </c>
      <c r="F40" s="182">
        <f>F41</f>
        <v>6764.7</v>
      </c>
      <c r="G40" s="95">
        <f aca="true" t="shared" si="9" ref="G40:G56">F40/E40</f>
        <v>0.45098</v>
      </c>
      <c r="H40" s="182">
        <f>H41</f>
        <v>15000</v>
      </c>
      <c r="I40" s="182">
        <f>I41</f>
        <v>6764.7</v>
      </c>
      <c r="J40" s="79">
        <f t="shared" si="8"/>
        <v>0.45098</v>
      </c>
      <c r="K40" s="197"/>
      <c r="L40" s="182"/>
      <c r="M40" s="130"/>
      <c r="N40" s="197"/>
      <c r="O40" s="182"/>
      <c r="P40" s="26"/>
    </row>
    <row r="41" spans="1:16" ht="18.75">
      <c r="A41" s="7"/>
      <c r="B41" s="15"/>
      <c r="C41" s="15">
        <v>4300</v>
      </c>
      <c r="D41" s="9" t="s">
        <v>45</v>
      </c>
      <c r="E41" s="184">
        <v>15000</v>
      </c>
      <c r="F41" s="188">
        <v>6764.7</v>
      </c>
      <c r="G41" s="95">
        <f t="shared" si="9"/>
        <v>0.45098</v>
      </c>
      <c r="H41" s="188">
        <v>15000</v>
      </c>
      <c r="I41" s="193">
        <v>6764.7</v>
      </c>
      <c r="J41" s="119">
        <f t="shared" si="8"/>
        <v>0.45098</v>
      </c>
      <c r="K41" s="200"/>
      <c r="L41" s="193"/>
      <c r="M41" s="122"/>
      <c r="N41" s="200"/>
      <c r="O41" s="193"/>
      <c r="P41" s="28"/>
    </row>
    <row r="42" spans="1:16" ht="18.75">
      <c r="A42" s="7"/>
      <c r="B42" s="22">
        <v>71014</v>
      </c>
      <c r="C42" s="22"/>
      <c r="D42" s="22" t="s">
        <v>144</v>
      </c>
      <c r="E42" s="189">
        <f>E43</f>
        <v>5000</v>
      </c>
      <c r="F42" s="187">
        <f>F43</f>
        <v>0</v>
      </c>
      <c r="G42" s="94">
        <f t="shared" si="9"/>
        <v>0</v>
      </c>
      <c r="H42" s="187">
        <f>H43</f>
        <v>5000</v>
      </c>
      <c r="I42" s="189">
        <f>I43</f>
        <v>0</v>
      </c>
      <c r="J42" s="176">
        <f t="shared" si="8"/>
        <v>0</v>
      </c>
      <c r="K42" s="201"/>
      <c r="L42" s="196"/>
      <c r="M42" s="126"/>
      <c r="N42" s="201"/>
      <c r="O42" s="196"/>
      <c r="P42" s="127"/>
    </row>
    <row r="43" spans="1:16" ht="18.75">
      <c r="A43" s="7"/>
      <c r="B43" s="15"/>
      <c r="C43" s="15">
        <v>4300</v>
      </c>
      <c r="D43" s="9" t="s">
        <v>45</v>
      </c>
      <c r="E43" s="184">
        <v>5000</v>
      </c>
      <c r="F43" s="188">
        <v>0</v>
      </c>
      <c r="G43" s="95">
        <f>F43/E43</f>
        <v>0</v>
      </c>
      <c r="H43" s="188">
        <v>5000</v>
      </c>
      <c r="I43" s="193">
        <v>0</v>
      </c>
      <c r="J43" s="119">
        <f t="shared" si="8"/>
        <v>0</v>
      </c>
      <c r="K43" s="200"/>
      <c r="L43" s="193"/>
      <c r="M43" s="122"/>
      <c r="N43" s="200"/>
      <c r="O43" s="193"/>
      <c r="P43" s="28"/>
    </row>
    <row r="44" spans="1:16" ht="18.75">
      <c r="A44" s="7"/>
      <c r="B44" s="22">
        <v>71035</v>
      </c>
      <c r="C44" s="22"/>
      <c r="D44" s="22" t="s">
        <v>35</v>
      </c>
      <c r="E44" s="189">
        <f>SUM(E45:E46)</f>
        <v>22000</v>
      </c>
      <c r="F44" s="189">
        <f>SUM(F45:F46)</f>
        <v>3688.44</v>
      </c>
      <c r="G44" s="94">
        <f t="shared" si="9"/>
        <v>0.16765636363636363</v>
      </c>
      <c r="H44" s="189">
        <f>SUM(H45:H46)</f>
        <v>22000</v>
      </c>
      <c r="I44" s="189">
        <f>SUM(I45:I46)</f>
        <v>3688.44</v>
      </c>
      <c r="J44" s="79">
        <f t="shared" si="8"/>
        <v>0.16765636363636363</v>
      </c>
      <c r="K44" s="204"/>
      <c r="L44" s="189"/>
      <c r="M44" s="121"/>
      <c r="N44" s="208"/>
      <c r="O44" s="189"/>
      <c r="P44" s="23"/>
    </row>
    <row r="45" spans="1:16" ht="18.75">
      <c r="A45" s="7"/>
      <c r="B45" s="9"/>
      <c r="C45" s="15">
        <v>4210</v>
      </c>
      <c r="D45" s="9" t="s">
        <v>43</v>
      </c>
      <c r="E45" s="184">
        <v>2000</v>
      </c>
      <c r="F45" s="185">
        <v>0</v>
      </c>
      <c r="G45" s="95">
        <f t="shared" si="9"/>
        <v>0</v>
      </c>
      <c r="H45" s="184">
        <v>2000</v>
      </c>
      <c r="I45" s="185">
        <v>0</v>
      </c>
      <c r="J45" s="119">
        <f t="shared" si="8"/>
        <v>0</v>
      </c>
      <c r="K45" s="205"/>
      <c r="L45" s="184"/>
      <c r="M45" s="131"/>
      <c r="N45" s="198"/>
      <c r="O45" s="184"/>
      <c r="P45" s="10"/>
    </row>
    <row r="46" spans="1:16" ht="19.5" thickBot="1">
      <c r="A46" s="7"/>
      <c r="B46" s="9"/>
      <c r="C46" s="15">
        <v>4300</v>
      </c>
      <c r="D46" s="9" t="s">
        <v>45</v>
      </c>
      <c r="E46" s="184">
        <v>20000</v>
      </c>
      <c r="F46" s="185">
        <v>3688.44</v>
      </c>
      <c r="G46" s="95">
        <f t="shared" si="9"/>
        <v>0.184422</v>
      </c>
      <c r="H46" s="184">
        <v>20000</v>
      </c>
      <c r="I46" s="185">
        <v>3688.44</v>
      </c>
      <c r="J46" s="119">
        <f t="shared" si="8"/>
        <v>0.184422</v>
      </c>
      <c r="K46" s="205"/>
      <c r="L46" s="184"/>
      <c r="M46" s="131"/>
      <c r="N46" s="198"/>
      <c r="O46" s="184"/>
      <c r="P46" s="155"/>
    </row>
    <row r="47" spans="1:16" ht="19.5" thickBot="1">
      <c r="A47" s="11">
        <v>750</v>
      </c>
      <c r="B47" s="12"/>
      <c r="C47" s="12"/>
      <c r="D47" s="12" t="s">
        <v>25</v>
      </c>
      <c r="E47" s="186">
        <f>E48+E57+E63+E81+E84</f>
        <v>1364347</v>
      </c>
      <c r="F47" s="186">
        <f>F48+F57+F63+F81+F84</f>
        <v>747489.13</v>
      </c>
      <c r="G47" s="83">
        <f t="shared" si="9"/>
        <v>0.5478731803566101</v>
      </c>
      <c r="H47" s="186">
        <f>H48+H57+H63+H81+H84</f>
        <v>1273347</v>
      </c>
      <c r="I47" s="186">
        <f>I48+I57+I63+I81+I84</f>
        <v>698376.78</v>
      </c>
      <c r="J47" s="84">
        <f t="shared" si="8"/>
        <v>0.5484575532042719</v>
      </c>
      <c r="K47" s="192">
        <f>K48+K57+K63+K81+K84</f>
        <v>91000</v>
      </c>
      <c r="L47" s="186">
        <f>L48+L57+L63+L81+L84</f>
        <v>49112.35</v>
      </c>
      <c r="M47" s="124">
        <f aca="true" t="shared" si="10" ref="M47:M55">L47/K47</f>
        <v>0.5396961538461539</v>
      </c>
      <c r="N47" s="199"/>
      <c r="O47" s="186"/>
      <c r="P47" s="14"/>
    </row>
    <row r="48" spans="1:16" ht="18.75">
      <c r="A48" s="53"/>
      <c r="B48" s="15">
        <v>75011</v>
      </c>
      <c r="C48" s="15"/>
      <c r="D48" s="15" t="s">
        <v>13</v>
      </c>
      <c r="E48" s="190">
        <f>SUM(E49:E56)</f>
        <v>91000</v>
      </c>
      <c r="F48" s="191">
        <f>SUM(F49:F56)</f>
        <v>49112.35</v>
      </c>
      <c r="G48" s="113">
        <f t="shared" si="9"/>
        <v>0.5396961538461539</v>
      </c>
      <c r="H48" s="183"/>
      <c r="I48" s="182"/>
      <c r="J48" s="125"/>
      <c r="K48" s="206">
        <f>SUM(K49:K56)</f>
        <v>91000</v>
      </c>
      <c r="L48" s="207">
        <f>SUM(L49:L56)</f>
        <v>49112.35</v>
      </c>
      <c r="M48" s="130">
        <f t="shared" si="10"/>
        <v>0.5396961538461539</v>
      </c>
      <c r="N48" s="197"/>
      <c r="O48" s="182"/>
      <c r="P48" s="26"/>
    </row>
    <row r="49" spans="1:16" ht="18.75">
      <c r="A49" s="53"/>
      <c r="B49" s="15"/>
      <c r="C49" s="15">
        <v>4010</v>
      </c>
      <c r="D49" s="9" t="s">
        <v>47</v>
      </c>
      <c r="E49" s="184">
        <v>65450</v>
      </c>
      <c r="F49" s="188">
        <v>37465</v>
      </c>
      <c r="G49" s="95">
        <f t="shared" si="9"/>
        <v>0.5724216959511077</v>
      </c>
      <c r="H49" s="188"/>
      <c r="I49" s="193"/>
      <c r="J49" s="123"/>
      <c r="K49" s="200">
        <v>65450</v>
      </c>
      <c r="L49" s="193">
        <v>37465</v>
      </c>
      <c r="M49" s="122">
        <f t="shared" si="10"/>
        <v>0.5724216959511077</v>
      </c>
      <c r="N49" s="200"/>
      <c r="O49" s="193"/>
      <c r="P49" s="28"/>
    </row>
    <row r="50" spans="1:16" ht="18.75">
      <c r="A50" s="7"/>
      <c r="B50" s="15"/>
      <c r="C50" s="15">
        <v>4040</v>
      </c>
      <c r="D50" s="9" t="s">
        <v>48</v>
      </c>
      <c r="E50" s="184">
        <v>4050</v>
      </c>
      <c r="F50" s="188">
        <v>4050</v>
      </c>
      <c r="G50" s="95">
        <f t="shared" si="9"/>
        <v>1</v>
      </c>
      <c r="H50" s="188"/>
      <c r="I50" s="193"/>
      <c r="J50" s="123"/>
      <c r="K50" s="200">
        <v>4050</v>
      </c>
      <c r="L50" s="193">
        <v>4050</v>
      </c>
      <c r="M50" s="122">
        <f t="shared" si="10"/>
        <v>1</v>
      </c>
      <c r="N50" s="200"/>
      <c r="O50" s="193"/>
      <c r="P50" s="28"/>
    </row>
    <row r="51" spans="1:16" ht="18.75">
      <c r="A51" s="7"/>
      <c r="B51" s="15"/>
      <c r="C51" s="15">
        <v>4110</v>
      </c>
      <c r="D51" s="9" t="s">
        <v>49</v>
      </c>
      <c r="E51" s="184">
        <v>12000</v>
      </c>
      <c r="F51" s="188">
        <v>4530</v>
      </c>
      <c r="G51" s="95">
        <f t="shared" si="9"/>
        <v>0.3775</v>
      </c>
      <c r="H51" s="188"/>
      <c r="I51" s="193"/>
      <c r="J51" s="123"/>
      <c r="K51" s="200">
        <v>12000</v>
      </c>
      <c r="L51" s="193">
        <v>4530</v>
      </c>
      <c r="M51" s="122">
        <f t="shared" si="10"/>
        <v>0.3775</v>
      </c>
      <c r="N51" s="200"/>
      <c r="O51" s="193"/>
      <c r="P51" s="28"/>
    </row>
    <row r="52" spans="1:16" ht="18.75">
      <c r="A52" s="7"/>
      <c r="B52" s="15"/>
      <c r="C52" s="15">
        <v>4120</v>
      </c>
      <c r="D52" s="9" t="s">
        <v>50</v>
      </c>
      <c r="E52" s="184">
        <f>H52+K52</f>
        <v>1700</v>
      </c>
      <c r="F52" s="188">
        <v>640</v>
      </c>
      <c r="G52" s="95">
        <f t="shared" si="9"/>
        <v>0.3764705882352941</v>
      </c>
      <c r="H52" s="188"/>
      <c r="I52" s="193"/>
      <c r="J52" s="123"/>
      <c r="K52" s="200">
        <v>1700</v>
      </c>
      <c r="L52" s="193">
        <v>640</v>
      </c>
      <c r="M52" s="122">
        <f t="shared" si="10"/>
        <v>0.3764705882352941</v>
      </c>
      <c r="N52" s="200"/>
      <c r="O52" s="193"/>
      <c r="P52" s="28"/>
    </row>
    <row r="53" spans="1:16" ht="18.75">
      <c r="A53" s="7"/>
      <c r="B53" s="15"/>
      <c r="C53" s="15">
        <v>4210</v>
      </c>
      <c r="D53" s="9" t="s">
        <v>43</v>
      </c>
      <c r="E53" s="184">
        <v>5000</v>
      </c>
      <c r="F53" s="188">
        <v>1381.45</v>
      </c>
      <c r="G53" s="95">
        <f t="shared" si="9"/>
        <v>0.27629000000000004</v>
      </c>
      <c r="H53" s="188"/>
      <c r="I53" s="193"/>
      <c r="J53" s="123"/>
      <c r="K53" s="200">
        <v>5000</v>
      </c>
      <c r="L53" s="193">
        <v>1381.45</v>
      </c>
      <c r="M53" s="122">
        <f t="shared" si="10"/>
        <v>0.27629000000000004</v>
      </c>
      <c r="N53" s="200"/>
      <c r="O53" s="193"/>
      <c r="P53" s="28"/>
    </row>
    <row r="54" spans="1:16" ht="18.75">
      <c r="A54" s="7"/>
      <c r="B54" s="15"/>
      <c r="C54" s="15">
        <v>4260</v>
      </c>
      <c r="D54" s="9" t="s">
        <v>52</v>
      </c>
      <c r="E54" s="184">
        <v>1000</v>
      </c>
      <c r="F54" s="188">
        <v>250</v>
      </c>
      <c r="G54" s="95">
        <f t="shared" si="9"/>
        <v>0.25</v>
      </c>
      <c r="H54" s="188"/>
      <c r="I54" s="193"/>
      <c r="J54" s="123"/>
      <c r="K54" s="200">
        <v>1000</v>
      </c>
      <c r="L54" s="193">
        <v>250</v>
      </c>
      <c r="M54" s="122">
        <f t="shared" si="10"/>
        <v>0.25</v>
      </c>
      <c r="N54" s="200"/>
      <c r="O54" s="193"/>
      <c r="P54" s="28"/>
    </row>
    <row r="55" spans="1:16" ht="18.75">
      <c r="A55" s="7"/>
      <c r="B55" s="15"/>
      <c r="C55" s="15">
        <v>4300</v>
      </c>
      <c r="D55" s="9" t="s">
        <v>45</v>
      </c>
      <c r="E55" s="184">
        <v>1600</v>
      </c>
      <c r="F55" s="188">
        <v>725</v>
      </c>
      <c r="G55" s="95">
        <f t="shared" si="9"/>
        <v>0.453125</v>
      </c>
      <c r="H55" s="188"/>
      <c r="I55" s="193"/>
      <c r="J55" s="123"/>
      <c r="K55" s="200">
        <v>1600</v>
      </c>
      <c r="L55" s="193">
        <v>725</v>
      </c>
      <c r="M55" s="122">
        <f t="shared" si="10"/>
        <v>0.453125</v>
      </c>
      <c r="N55" s="200"/>
      <c r="O55" s="193"/>
      <c r="P55" s="28"/>
    </row>
    <row r="56" spans="1:16" ht="18.75">
      <c r="A56" s="7"/>
      <c r="B56" s="15"/>
      <c r="C56" s="15">
        <v>4410</v>
      </c>
      <c r="D56" s="9" t="s">
        <v>55</v>
      </c>
      <c r="E56" s="185">
        <v>200</v>
      </c>
      <c r="F56" s="188">
        <v>70.9</v>
      </c>
      <c r="G56" s="95">
        <f t="shared" si="9"/>
        <v>0.35450000000000004</v>
      </c>
      <c r="H56" s="188"/>
      <c r="I56" s="188"/>
      <c r="J56" s="123"/>
      <c r="K56" s="200">
        <v>200</v>
      </c>
      <c r="L56" s="193">
        <v>70.9</v>
      </c>
      <c r="M56" s="122">
        <f>L56/K56</f>
        <v>0.35450000000000004</v>
      </c>
      <c r="N56" s="200"/>
      <c r="O56" s="193"/>
      <c r="P56" s="28"/>
    </row>
    <row r="57" spans="1:16" ht="18.75">
      <c r="A57" s="7"/>
      <c r="B57" s="22">
        <v>75022</v>
      </c>
      <c r="C57" s="22"/>
      <c r="D57" s="22" t="s">
        <v>56</v>
      </c>
      <c r="E57" s="187">
        <f>SUM(E58:E62)</f>
        <v>78100</v>
      </c>
      <c r="F57" s="187">
        <f>SUM(F58:F62)</f>
        <v>43003.41</v>
      </c>
      <c r="G57" s="94">
        <f aca="true" t="shared" si="11" ref="G57:G63">F57/E57</f>
        <v>0.5506198463508323</v>
      </c>
      <c r="H57" s="187">
        <f>SUM(H58:H62)</f>
        <v>78100</v>
      </c>
      <c r="I57" s="187">
        <f>SUM(I58:I62)</f>
        <v>43003.41</v>
      </c>
      <c r="J57" s="79">
        <f aca="true" t="shared" si="12" ref="J57:J63">I57/H57</f>
        <v>0.5506198463508323</v>
      </c>
      <c r="K57" s="208"/>
      <c r="L57" s="189"/>
      <c r="M57" s="121"/>
      <c r="N57" s="208"/>
      <c r="O57" s="189"/>
      <c r="P57" s="23"/>
    </row>
    <row r="58" spans="1:16" ht="18.75">
      <c r="A58" s="7"/>
      <c r="B58" s="15"/>
      <c r="C58" s="15">
        <v>3030</v>
      </c>
      <c r="D58" s="9" t="s">
        <v>57</v>
      </c>
      <c r="E58" s="184">
        <v>68800</v>
      </c>
      <c r="F58" s="188">
        <v>42600</v>
      </c>
      <c r="G58" s="95">
        <f t="shared" si="11"/>
        <v>0.6191860465116279</v>
      </c>
      <c r="H58" s="184">
        <v>68800</v>
      </c>
      <c r="I58" s="188">
        <v>42600</v>
      </c>
      <c r="J58" s="119">
        <f t="shared" si="12"/>
        <v>0.6191860465116279</v>
      </c>
      <c r="K58" s="200"/>
      <c r="L58" s="193"/>
      <c r="M58" s="122"/>
      <c r="N58" s="200"/>
      <c r="O58" s="193"/>
      <c r="P58" s="28"/>
    </row>
    <row r="59" spans="1:16" ht="18.75">
      <c r="A59" s="7"/>
      <c r="B59" s="15"/>
      <c r="C59" s="15">
        <v>4210</v>
      </c>
      <c r="D59" s="9" t="s">
        <v>43</v>
      </c>
      <c r="E59" s="184">
        <v>5000</v>
      </c>
      <c r="F59" s="188">
        <v>403.41</v>
      </c>
      <c r="G59" s="95">
        <f t="shared" si="11"/>
        <v>0.080682</v>
      </c>
      <c r="H59" s="184">
        <v>5000</v>
      </c>
      <c r="I59" s="188">
        <v>403.41</v>
      </c>
      <c r="J59" s="119">
        <f t="shared" si="12"/>
        <v>0.080682</v>
      </c>
      <c r="K59" s="200"/>
      <c r="L59" s="193"/>
      <c r="M59" s="122"/>
      <c r="N59" s="200"/>
      <c r="O59" s="193"/>
      <c r="P59" s="28"/>
    </row>
    <row r="60" spans="1:16" ht="18.75">
      <c r="A60" s="7"/>
      <c r="B60" s="15"/>
      <c r="C60" s="15">
        <v>4300</v>
      </c>
      <c r="D60" s="9" t="s">
        <v>45</v>
      </c>
      <c r="E60" s="184">
        <v>3500</v>
      </c>
      <c r="F60" s="188">
        <v>0</v>
      </c>
      <c r="G60" s="95">
        <f t="shared" si="11"/>
        <v>0</v>
      </c>
      <c r="H60" s="184">
        <v>3500</v>
      </c>
      <c r="I60" s="188">
        <v>0</v>
      </c>
      <c r="J60" s="119">
        <f t="shared" si="12"/>
        <v>0</v>
      </c>
      <c r="K60" s="200"/>
      <c r="L60" s="193"/>
      <c r="M60" s="122"/>
      <c r="N60" s="200"/>
      <c r="O60" s="193"/>
      <c r="P60" s="28"/>
    </row>
    <row r="61" spans="1:16" ht="18.75">
      <c r="A61" s="7"/>
      <c r="B61" s="15"/>
      <c r="C61" s="15">
        <v>4410</v>
      </c>
      <c r="D61" s="9" t="s">
        <v>55</v>
      </c>
      <c r="E61" s="184">
        <v>500</v>
      </c>
      <c r="F61" s="188">
        <v>0</v>
      </c>
      <c r="G61" s="95">
        <f t="shared" si="11"/>
        <v>0</v>
      </c>
      <c r="H61" s="184">
        <v>500</v>
      </c>
      <c r="I61" s="188">
        <v>0</v>
      </c>
      <c r="J61" s="119">
        <f t="shared" si="12"/>
        <v>0</v>
      </c>
      <c r="K61" s="200"/>
      <c r="L61" s="193"/>
      <c r="M61" s="122"/>
      <c r="N61" s="200"/>
      <c r="O61" s="193"/>
      <c r="P61" s="28"/>
    </row>
    <row r="62" spans="1:16" ht="18.75">
      <c r="A62" s="7"/>
      <c r="B62" s="15"/>
      <c r="C62" s="15">
        <v>4420</v>
      </c>
      <c r="D62" s="9" t="s">
        <v>58</v>
      </c>
      <c r="E62" s="184">
        <v>300</v>
      </c>
      <c r="F62" s="188">
        <v>0</v>
      </c>
      <c r="G62" s="95">
        <f t="shared" si="11"/>
        <v>0</v>
      </c>
      <c r="H62" s="184">
        <v>300</v>
      </c>
      <c r="I62" s="188">
        <v>0</v>
      </c>
      <c r="J62" s="119">
        <f t="shared" si="12"/>
        <v>0</v>
      </c>
      <c r="K62" s="200"/>
      <c r="L62" s="193"/>
      <c r="M62" s="122"/>
      <c r="N62" s="200"/>
      <c r="O62" s="193"/>
      <c r="P62" s="28"/>
    </row>
    <row r="63" spans="1:16" ht="18.75">
      <c r="A63" s="7"/>
      <c r="B63" s="22">
        <v>75023</v>
      </c>
      <c r="C63" s="22"/>
      <c r="D63" s="22" t="s">
        <v>59</v>
      </c>
      <c r="E63" s="189">
        <f>SUM(E64:E80)</f>
        <v>1117898</v>
      </c>
      <c r="F63" s="189">
        <f>SUM(F64:F80)</f>
        <v>601240.52</v>
      </c>
      <c r="G63" s="94">
        <f t="shared" si="11"/>
        <v>0.537831286933155</v>
      </c>
      <c r="H63" s="189">
        <f>SUM(H64:H80)</f>
        <v>1117898</v>
      </c>
      <c r="I63" s="189">
        <f>SUM(I64:I80)</f>
        <v>601240.52</v>
      </c>
      <c r="J63" s="79">
        <f t="shared" si="12"/>
        <v>0.537831286933155</v>
      </c>
      <c r="K63" s="208"/>
      <c r="L63" s="189"/>
      <c r="M63" s="121"/>
      <c r="N63" s="208"/>
      <c r="O63" s="189"/>
      <c r="P63" s="23"/>
    </row>
    <row r="64" spans="1:16" ht="18.75">
      <c r="A64" s="7"/>
      <c r="B64" s="15"/>
      <c r="C64" s="15">
        <v>3020</v>
      </c>
      <c r="D64" s="9" t="s">
        <v>128</v>
      </c>
      <c r="E64" s="184">
        <v>25800</v>
      </c>
      <c r="F64" s="188">
        <v>24525</v>
      </c>
      <c r="G64" s="95">
        <f aca="true" t="shared" si="13" ref="G64:G76">F64/E64</f>
        <v>0.9505813953488372</v>
      </c>
      <c r="H64" s="184">
        <v>25800</v>
      </c>
      <c r="I64" s="188">
        <v>24525</v>
      </c>
      <c r="J64" s="119">
        <f aca="true" t="shared" si="14" ref="J64:J76">I64/H64</f>
        <v>0.9505813953488372</v>
      </c>
      <c r="K64" s="200"/>
      <c r="L64" s="193"/>
      <c r="M64" s="122"/>
      <c r="N64" s="200"/>
      <c r="O64" s="193"/>
      <c r="P64" s="28"/>
    </row>
    <row r="65" spans="1:16" ht="18.75">
      <c r="A65" s="7"/>
      <c r="B65" s="15"/>
      <c r="C65" s="15">
        <v>4010</v>
      </c>
      <c r="D65" s="9" t="s">
        <v>47</v>
      </c>
      <c r="E65" s="184">
        <v>695798</v>
      </c>
      <c r="F65" s="188">
        <v>332650.3</v>
      </c>
      <c r="G65" s="95">
        <f t="shared" si="13"/>
        <v>0.47808458776828905</v>
      </c>
      <c r="H65" s="184">
        <v>695798</v>
      </c>
      <c r="I65" s="188">
        <v>332650.3</v>
      </c>
      <c r="J65" s="119">
        <f t="shared" si="14"/>
        <v>0.47808458776828905</v>
      </c>
      <c r="K65" s="200"/>
      <c r="L65" s="193"/>
      <c r="M65" s="122"/>
      <c r="N65" s="200"/>
      <c r="O65" s="193"/>
      <c r="P65" s="28"/>
    </row>
    <row r="66" spans="1:16" ht="18.75">
      <c r="A66" s="7"/>
      <c r="B66" s="15"/>
      <c r="C66" s="15">
        <v>4040</v>
      </c>
      <c r="D66" s="9" t="s">
        <v>48</v>
      </c>
      <c r="E66" s="184">
        <v>30800</v>
      </c>
      <c r="F66" s="188">
        <v>30782.65</v>
      </c>
      <c r="G66" s="95">
        <f t="shared" si="13"/>
        <v>0.9994366883116883</v>
      </c>
      <c r="H66" s="184">
        <v>30800</v>
      </c>
      <c r="I66" s="188">
        <v>30782.65</v>
      </c>
      <c r="J66" s="119">
        <f t="shared" si="14"/>
        <v>0.9994366883116883</v>
      </c>
      <c r="K66" s="200"/>
      <c r="L66" s="193"/>
      <c r="M66" s="122"/>
      <c r="N66" s="200"/>
      <c r="O66" s="193"/>
      <c r="P66" s="28"/>
    </row>
    <row r="67" spans="1:16" ht="18.75">
      <c r="A67" s="7"/>
      <c r="B67" s="15"/>
      <c r="C67" s="15">
        <v>4110</v>
      </c>
      <c r="D67" s="9" t="s">
        <v>49</v>
      </c>
      <c r="E67" s="184">
        <v>123300</v>
      </c>
      <c r="F67" s="188">
        <v>59419.03</v>
      </c>
      <c r="G67" s="95">
        <f t="shared" si="13"/>
        <v>0.4819061638280616</v>
      </c>
      <c r="H67" s="184">
        <v>123300</v>
      </c>
      <c r="I67" s="188">
        <v>59419.03</v>
      </c>
      <c r="J67" s="119">
        <f t="shared" si="14"/>
        <v>0.4819061638280616</v>
      </c>
      <c r="K67" s="200"/>
      <c r="L67" s="193"/>
      <c r="M67" s="122"/>
      <c r="N67" s="200"/>
      <c r="O67" s="193"/>
      <c r="P67" s="28"/>
    </row>
    <row r="68" spans="1:16" ht="18.75">
      <c r="A68" s="7"/>
      <c r="B68" s="15"/>
      <c r="C68" s="15">
        <v>4120</v>
      </c>
      <c r="D68" s="9" t="s">
        <v>50</v>
      </c>
      <c r="E68" s="184">
        <v>17500</v>
      </c>
      <c r="F68" s="188">
        <v>8684.12</v>
      </c>
      <c r="G68" s="95">
        <f>F68/E68</f>
        <v>0.4962354285714286</v>
      </c>
      <c r="H68" s="184">
        <v>17500</v>
      </c>
      <c r="I68" s="188">
        <v>8684.12</v>
      </c>
      <c r="J68" s="119">
        <f>I68/H68</f>
        <v>0.4962354285714286</v>
      </c>
      <c r="K68" s="200"/>
      <c r="L68" s="193"/>
      <c r="M68" s="122"/>
      <c r="N68" s="200"/>
      <c r="O68" s="193"/>
      <c r="P68" s="28"/>
    </row>
    <row r="69" spans="1:16" ht="18.75">
      <c r="A69" s="7"/>
      <c r="B69" s="15"/>
      <c r="C69" s="15">
        <v>4140</v>
      </c>
      <c r="D69" s="9" t="s">
        <v>51</v>
      </c>
      <c r="E69" s="184">
        <v>6500</v>
      </c>
      <c r="F69" s="188">
        <v>4402.08</v>
      </c>
      <c r="G69" s="95">
        <f>F69/E69</f>
        <v>0.677243076923077</v>
      </c>
      <c r="H69" s="184">
        <v>6500</v>
      </c>
      <c r="I69" s="188">
        <v>4402.08</v>
      </c>
      <c r="J69" s="119">
        <f>I69/H69</f>
        <v>0.677243076923077</v>
      </c>
      <c r="K69" s="200"/>
      <c r="L69" s="193"/>
      <c r="M69" s="122"/>
      <c r="N69" s="200"/>
      <c r="O69" s="193"/>
      <c r="P69" s="28"/>
    </row>
    <row r="70" spans="1:16" ht="18.75">
      <c r="A70" s="7"/>
      <c r="B70" s="15"/>
      <c r="C70" s="15">
        <v>4170</v>
      </c>
      <c r="D70" s="9" t="s">
        <v>94</v>
      </c>
      <c r="E70" s="184">
        <v>3300</v>
      </c>
      <c r="F70" s="188">
        <v>2150</v>
      </c>
      <c r="G70" s="95">
        <f>F70/E70</f>
        <v>0.6515151515151515</v>
      </c>
      <c r="H70" s="184">
        <v>3300</v>
      </c>
      <c r="I70" s="188">
        <v>2150</v>
      </c>
      <c r="J70" s="119">
        <f>I70/H70</f>
        <v>0.6515151515151515</v>
      </c>
      <c r="K70" s="200"/>
      <c r="L70" s="193"/>
      <c r="M70" s="122"/>
      <c r="N70" s="200"/>
      <c r="O70" s="193"/>
      <c r="P70" s="28"/>
    </row>
    <row r="71" spans="1:16" ht="18.75">
      <c r="A71" s="7"/>
      <c r="B71" s="15"/>
      <c r="C71" s="15">
        <v>4210</v>
      </c>
      <c r="D71" s="9" t="s">
        <v>43</v>
      </c>
      <c r="E71" s="184">
        <v>35000</v>
      </c>
      <c r="F71" s="188">
        <v>27063.56</v>
      </c>
      <c r="G71" s="95">
        <f t="shared" si="13"/>
        <v>0.7732445714285715</v>
      </c>
      <c r="H71" s="184">
        <v>35000</v>
      </c>
      <c r="I71" s="188">
        <v>27063.56</v>
      </c>
      <c r="J71" s="119">
        <f t="shared" si="14"/>
        <v>0.7732445714285715</v>
      </c>
      <c r="K71" s="200"/>
      <c r="L71" s="193"/>
      <c r="M71" s="122"/>
      <c r="N71" s="200"/>
      <c r="O71" s="193"/>
      <c r="P71" s="28"/>
    </row>
    <row r="72" spans="1:16" ht="18.75">
      <c r="A72" s="7"/>
      <c r="B72" s="15"/>
      <c r="C72" s="15">
        <v>4260</v>
      </c>
      <c r="D72" s="9" t="s">
        <v>52</v>
      </c>
      <c r="E72" s="184">
        <v>42400</v>
      </c>
      <c r="F72" s="188">
        <v>21549.52</v>
      </c>
      <c r="G72" s="95">
        <f t="shared" si="13"/>
        <v>0.5082433962264151</v>
      </c>
      <c r="H72" s="184">
        <v>42400</v>
      </c>
      <c r="I72" s="188">
        <v>21549.52</v>
      </c>
      <c r="J72" s="119">
        <f t="shared" si="14"/>
        <v>0.5082433962264151</v>
      </c>
      <c r="K72" s="200"/>
      <c r="L72" s="193"/>
      <c r="M72" s="122"/>
      <c r="N72" s="200"/>
      <c r="O72" s="193"/>
      <c r="P72" s="28"/>
    </row>
    <row r="73" spans="1:16" ht="18.75">
      <c r="A73" s="7"/>
      <c r="B73" s="15"/>
      <c r="C73" s="15">
        <v>4270</v>
      </c>
      <c r="D73" s="9" t="s">
        <v>44</v>
      </c>
      <c r="E73" s="184">
        <v>5000</v>
      </c>
      <c r="F73" s="188">
        <v>584.94</v>
      </c>
      <c r="G73" s="95">
        <f t="shared" si="13"/>
        <v>0.11698800000000001</v>
      </c>
      <c r="H73" s="184">
        <v>5000</v>
      </c>
      <c r="I73" s="188">
        <v>584.94</v>
      </c>
      <c r="J73" s="119">
        <f t="shared" si="14"/>
        <v>0.11698800000000001</v>
      </c>
      <c r="K73" s="200"/>
      <c r="L73" s="193"/>
      <c r="M73" s="122"/>
      <c r="N73" s="200"/>
      <c r="O73" s="193"/>
      <c r="P73" s="28"/>
    </row>
    <row r="74" spans="1:16" ht="18.75">
      <c r="A74" s="7"/>
      <c r="B74" s="15"/>
      <c r="C74" s="15">
        <v>4300</v>
      </c>
      <c r="D74" s="9" t="s">
        <v>45</v>
      </c>
      <c r="E74" s="184">
        <v>90000</v>
      </c>
      <c r="F74" s="188">
        <v>60360.11</v>
      </c>
      <c r="G74" s="95">
        <f t="shared" si="13"/>
        <v>0.6706678888888888</v>
      </c>
      <c r="H74" s="184">
        <v>90000</v>
      </c>
      <c r="I74" s="188">
        <v>60360.11</v>
      </c>
      <c r="J74" s="119">
        <f t="shared" si="14"/>
        <v>0.6706678888888888</v>
      </c>
      <c r="K74" s="200"/>
      <c r="L74" s="193"/>
      <c r="M74" s="122"/>
      <c r="N74" s="200"/>
      <c r="O74" s="193"/>
      <c r="P74" s="28"/>
    </row>
    <row r="75" spans="1:16" ht="18.75">
      <c r="A75" s="7"/>
      <c r="B75" s="15"/>
      <c r="C75" s="15">
        <v>4350</v>
      </c>
      <c r="D75" s="9" t="s">
        <v>101</v>
      </c>
      <c r="E75" s="184">
        <v>2000</v>
      </c>
      <c r="F75" s="188">
        <v>745.68</v>
      </c>
      <c r="G75" s="95">
        <f>F75/E75</f>
        <v>0.37283999999999995</v>
      </c>
      <c r="H75" s="184">
        <v>2000</v>
      </c>
      <c r="I75" s="188">
        <v>745.68</v>
      </c>
      <c r="J75" s="119">
        <f>I75/H75</f>
        <v>0.37283999999999995</v>
      </c>
      <c r="K75" s="200"/>
      <c r="L75" s="193"/>
      <c r="M75" s="122"/>
      <c r="N75" s="200"/>
      <c r="O75" s="193"/>
      <c r="P75" s="28"/>
    </row>
    <row r="76" spans="1:16" ht="18.75">
      <c r="A76" s="7"/>
      <c r="B76" s="15"/>
      <c r="C76" s="15">
        <v>4410</v>
      </c>
      <c r="D76" s="9" t="s">
        <v>55</v>
      </c>
      <c r="E76" s="184">
        <v>5700</v>
      </c>
      <c r="F76" s="188">
        <v>4159.98</v>
      </c>
      <c r="G76" s="95">
        <f t="shared" si="13"/>
        <v>0.7298210526315789</v>
      </c>
      <c r="H76" s="184">
        <v>5700</v>
      </c>
      <c r="I76" s="188">
        <v>4159.98</v>
      </c>
      <c r="J76" s="119">
        <f t="shared" si="14"/>
        <v>0.7298210526315789</v>
      </c>
      <c r="K76" s="200"/>
      <c r="L76" s="193"/>
      <c r="M76" s="122"/>
      <c r="N76" s="200"/>
      <c r="O76" s="193"/>
      <c r="P76" s="28"/>
    </row>
    <row r="77" spans="1:16" ht="18.75">
      <c r="A77" s="7"/>
      <c r="B77" s="15"/>
      <c r="C77" s="15">
        <v>4430</v>
      </c>
      <c r="D77" s="9" t="s">
        <v>53</v>
      </c>
      <c r="E77" s="184">
        <v>2500</v>
      </c>
      <c r="F77" s="188">
        <v>1038</v>
      </c>
      <c r="G77" s="95">
        <f aca="true" t="shared" si="15" ref="G77:G92">F77/E77</f>
        <v>0.4152</v>
      </c>
      <c r="H77" s="184">
        <v>2500</v>
      </c>
      <c r="I77" s="188">
        <v>1038</v>
      </c>
      <c r="J77" s="119">
        <f aca="true" t="shared" si="16" ref="J77:J92">I77/H77</f>
        <v>0.4152</v>
      </c>
      <c r="K77" s="200"/>
      <c r="L77" s="193"/>
      <c r="M77" s="122"/>
      <c r="N77" s="200"/>
      <c r="O77" s="193"/>
      <c r="P77" s="28"/>
    </row>
    <row r="78" spans="1:16" ht="18.75">
      <c r="A78" s="7"/>
      <c r="B78" s="15"/>
      <c r="C78" s="15">
        <v>4440</v>
      </c>
      <c r="D78" s="9" t="s">
        <v>129</v>
      </c>
      <c r="E78" s="184">
        <v>15300</v>
      </c>
      <c r="F78" s="188">
        <v>12000</v>
      </c>
      <c r="G78" s="95">
        <f t="shared" si="15"/>
        <v>0.7843137254901961</v>
      </c>
      <c r="H78" s="184">
        <v>15300</v>
      </c>
      <c r="I78" s="188">
        <v>12000</v>
      </c>
      <c r="J78" s="119">
        <f t="shared" si="16"/>
        <v>0.7843137254901961</v>
      </c>
      <c r="K78" s="200"/>
      <c r="L78" s="193"/>
      <c r="M78" s="122"/>
      <c r="N78" s="200"/>
      <c r="O78" s="193"/>
      <c r="P78" s="28"/>
    </row>
    <row r="79" spans="1:16" ht="18.75">
      <c r="A79" s="7"/>
      <c r="B79" s="15"/>
      <c r="C79" s="15">
        <v>4580</v>
      </c>
      <c r="D79" s="9" t="s">
        <v>91</v>
      </c>
      <c r="E79" s="184">
        <v>1000</v>
      </c>
      <c r="F79" s="188">
        <v>128.86</v>
      </c>
      <c r="G79" s="95">
        <f t="shared" si="15"/>
        <v>0.12886</v>
      </c>
      <c r="H79" s="184">
        <v>1000</v>
      </c>
      <c r="I79" s="188">
        <v>128.86</v>
      </c>
      <c r="J79" s="119">
        <f t="shared" si="16"/>
        <v>0.12886</v>
      </c>
      <c r="K79" s="200"/>
      <c r="L79" s="193"/>
      <c r="M79" s="122"/>
      <c r="N79" s="200"/>
      <c r="O79" s="193"/>
      <c r="P79" s="28"/>
    </row>
    <row r="80" spans="1:16" ht="18.75">
      <c r="A80" s="7"/>
      <c r="B80" s="15"/>
      <c r="C80" s="15">
        <v>6050</v>
      </c>
      <c r="D80" s="9" t="s">
        <v>73</v>
      </c>
      <c r="E80" s="184">
        <v>16000</v>
      </c>
      <c r="F80" s="188">
        <v>10996.69</v>
      </c>
      <c r="G80" s="95">
        <f>F80/E80</f>
        <v>0.6872931250000001</v>
      </c>
      <c r="H80" s="184">
        <v>16000</v>
      </c>
      <c r="I80" s="188">
        <v>10996.69</v>
      </c>
      <c r="J80" s="119">
        <f>I80/H80</f>
        <v>0.6872931250000001</v>
      </c>
      <c r="K80" s="200"/>
      <c r="L80" s="193"/>
      <c r="M80" s="122"/>
      <c r="N80" s="200"/>
      <c r="O80" s="193"/>
      <c r="P80" s="28"/>
    </row>
    <row r="81" spans="1:16" ht="18.75">
      <c r="A81" s="7"/>
      <c r="B81" s="22">
        <v>75075</v>
      </c>
      <c r="C81" s="22"/>
      <c r="D81" s="22" t="s">
        <v>95</v>
      </c>
      <c r="E81" s="189">
        <f>SUM(E82:E83)</f>
        <v>46000</v>
      </c>
      <c r="F81" s="189">
        <f>SUM(F82:F83)</f>
        <v>41927.909999999996</v>
      </c>
      <c r="G81" s="94">
        <f t="shared" si="15"/>
        <v>0.911476304347826</v>
      </c>
      <c r="H81" s="189">
        <f>SUM(H82:H83)</f>
        <v>46000</v>
      </c>
      <c r="I81" s="189">
        <f>SUM(I82:I83)</f>
        <v>41927.909999999996</v>
      </c>
      <c r="J81" s="79">
        <f t="shared" si="16"/>
        <v>0.911476304347826</v>
      </c>
      <c r="K81" s="208"/>
      <c r="L81" s="189"/>
      <c r="M81" s="121"/>
      <c r="N81" s="208"/>
      <c r="O81" s="189"/>
      <c r="P81" s="23"/>
    </row>
    <row r="82" spans="1:16" ht="18.75">
      <c r="A82" s="7"/>
      <c r="B82" s="15"/>
      <c r="C82" s="15">
        <v>4210</v>
      </c>
      <c r="D82" s="9" t="s">
        <v>43</v>
      </c>
      <c r="E82" s="184">
        <v>4000</v>
      </c>
      <c r="F82" s="188">
        <v>2178.71</v>
      </c>
      <c r="G82" s="95">
        <f t="shared" si="15"/>
        <v>0.5446775</v>
      </c>
      <c r="H82" s="184">
        <v>4000</v>
      </c>
      <c r="I82" s="188">
        <v>2178.71</v>
      </c>
      <c r="J82" s="119">
        <f t="shared" si="16"/>
        <v>0.5446775</v>
      </c>
      <c r="K82" s="200"/>
      <c r="L82" s="193"/>
      <c r="M82" s="122"/>
      <c r="N82" s="200"/>
      <c r="O82" s="193"/>
      <c r="P82" s="28"/>
    </row>
    <row r="83" spans="1:16" ht="18.75">
      <c r="A83" s="7"/>
      <c r="B83" s="15"/>
      <c r="C83" s="15">
        <v>4300</v>
      </c>
      <c r="D83" s="9" t="s">
        <v>45</v>
      </c>
      <c r="E83" s="184">
        <v>42000</v>
      </c>
      <c r="F83" s="188">
        <v>39749.2</v>
      </c>
      <c r="G83" s="95">
        <f t="shared" si="15"/>
        <v>0.9464095238095237</v>
      </c>
      <c r="H83" s="184">
        <v>42000</v>
      </c>
      <c r="I83" s="188">
        <v>39749.2</v>
      </c>
      <c r="J83" s="119">
        <f t="shared" si="16"/>
        <v>0.9464095238095237</v>
      </c>
      <c r="K83" s="200"/>
      <c r="L83" s="193"/>
      <c r="M83" s="122"/>
      <c r="N83" s="200"/>
      <c r="O83" s="193"/>
      <c r="P83" s="28"/>
    </row>
    <row r="84" spans="1:16" ht="18.75">
      <c r="A84" s="7"/>
      <c r="B84" s="22">
        <v>75095</v>
      </c>
      <c r="C84" s="22"/>
      <c r="D84" s="22" t="s">
        <v>4</v>
      </c>
      <c r="E84" s="189">
        <f>SUM(E85:E92)</f>
        <v>31349</v>
      </c>
      <c r="F84" s="189">
        <f>SUM(F85:F92)</f>
        <v>12204.94</v>
      </c>
      <c r="G84" s="94">
        <f t="shared" si="15"/>
        <v>0.38932469935245145</v>
      </c>
      <c r="H84" s="189">
        <f>SUM(H85:H92)</f>
        <v>31349</v>
      </c>
      <c r="I84" s="189">
        <f>SUM(I85:I92)</f>
        <v>12204.94</v>
      </c>
      <c r="J84" s="79">
        <f t="shared" si="16"/>
        <v>0.38932469935245145</v>
      </c>
      <c r="K84" s="208"/>
      <c r="L84" s="189"/>
      <c r="M84" s="121"/>
      <c r="N84" s="208"/>
      <c r="O84" s="189"/>
      <c r="P84" s="23"/>
    </row>
    <row r="85" spans="1:16" ht="18.75">
      <c r="A85" s="7"/>
      <c r="B85" s="15"/>
      <c r="C85" s="15">
        <v>4010</v>
      </c>
      <c r="D85" s="9" t="s">
        <v>47</v>
      </c>
      <c r="E85" s="184">
        <v>13439</v>
      </c>
      <c r="F85" s="188">
        <v>7328.68</v>
      </c>
      <c r="G85" s="95">
        <f t="shared" si="15"/>
        <v>0.545329265570355</v>
      </c>
      <c r="H85" s="184">
        <v>13439</v>
      </c>
      <c r="I85" s="188">
        <v>7328.68</v>
      </c>
      <c r="J85" s="119">
        <f t="shared" si="16"/>
        <v>0.545329265570355</v>
      </c>
      <c r="K85" s="200"/>
      <c r="L85" s="193"/>
      <c r="M85" s="122"/>
      <c r="N85" s="200"/>
      <c r="O85" s="193"/>
      <c r="P85" s="28"/>
    </row>
    <row r="86" spans="1:16" ht="18.75">
      <c r="A86" s="7"/>
      <c r="B86" s="15"/>
      <c r="C86" s="15">
        <v>4040</v>
      </c>
      <c r="D86" s="9" t="s">
        <v>48</v>
      </c>
      <c r="E86" s="184">
        <v>1100</v>
      </c>
      <c r="F86" s="188">
        <v>1003.6</v>
      </c>
      <c r="G86" s="95">
        <f t="shared" si="15"/>
        <v>0.9123636363636364</v>
      </c>
      <c r="H86" s="184">
        <v>1100</v>
      </c>
      <c r="I86" s="188">
        <v>1003.6</v>
      </c>
      <c r="J86" s="119">
        <f t="shared" si="16"/>
        <v>0.9123636363636364</v>
      </c>
      <c r="K86" s="200"/>
      <c r="L86" s="193"/>
      <c r="M86" s="122"/>
      <c r="N86" s="200"/>
      <c r="O86" s="193"/>
      <c r="P86" s="28"/>
    </row>
    <row r="87" spans="1:16" ht="18.75">
      <c r="A87" s="7"/>
      <c r="B87" s="15"/>
      <c r="C87" s="15">
        <v>4110</v>
      </c>
      <c r="D87" s="9" t="s">
        <v>49</v>
      </c>
      <c r="E87" s="184">
        <v>2500</v>
      </c>
      <c r="F87" s="188">
        <v>1806.3</v>
      </c>
      <c r="G87" s="95">
        <f t="shared" si="15"/>
        <v>0.7225199999999999</v>
      </c>
      <c r="H87" s="184">
        <v>2500</v>
      </c>
      <c r="I87" s="188">
        <v>1806.3</v>
      </c>
      <c r="J87" s="119">
        <f t="shared" si="16"/>
        <v>0.7225199999999999</v>
      </c>
      <c r="K87" s="200"/>
      <c r="L87" s="193"/>
      <c r="M87" s="122"/>
      <c r="N87" s="200"/>
      <c r="O87" s="193"/>
      <c r="P87" s="28"/>
    </row>
    <row r="88" spans="1:16" ht="18.75">
      <c r="A88" s="7"/>
      <c r="B88" s="15"/>
      <c r="C88" s="15">
        <v>4120</v>
      </c>
      <c r="D88" s="9" t="s">
        <v>50</v>
      </c>
      <c r="E88" s="184">
        <v>360</v>
      </c>
      <c r="F88" s="188">
        <v>256.95</v>
      </c>
      <c r="G88" s="95">
        <f t="shared" si="15"/>
        <v>0.71375</v>
      </c>
      <c r="H88" s="184">
        <v>360</v>
      </c>
      <c r="I88" s="188">
        <v>256.95</v>
      </c>
      <c r="J88" s="119">
        <f t="shared" si="16"/>
        <v>0.71375</v>
      </c>
      <c r="K88" s="200"/>
      <c r="L88" s="193"/>
      <c r="M88" s="122"/>
      <c r="N88" s="200"/>
      <c r="O88" s="193"/>
      <c r="P88" s="28"/>
    </row>
    <row r="89" spans="1:16" ht="18.75">
      <c r="A89" s="7"/>
      <c r="B89" s="15"/>
      <c r="C89" s="15">
        <v>4140</v>
      </c>
      <c r="D89" s="9" t="s">
        <v>51</v>
      </c>
      <c r="E89" s="184">
        <v>550</v>
      </c>
      <c r="F89" s="188">
        <v>247.41</v>
      </c>
      <c r="G89" s="95">
        <f t="shared" si="15"/>
        <v>0.44983636363636365</v>
      </c>
      <c r="H89" s="184">
        <v>550</v>
      </c>
      <c r="I89" s="188">
        <v>247.41</v>
      </c>
      <c r="J89" s="119">
        <f t="shared" si="16"/>
        <v>0.44983636363636365</v>
      </c>
      <c r="K89" s="200"/>
      <c r="L89" s="193"/>
      <c r="M89" s="122"/>
      <c r="N89" s="200"/>
      <c r="O89" s="193"/>
      <c r="P89" s="28"/>
    </row>
    <row r="90" spans="1:16" ht="18.75">
      <c r="A90" s="7"/>
      <c r="B90" s="15"/>
      <c r="C90" s="15">
        <v>4300</v>
      </c>
      <c r="D90" s="9" t="s">
        <v>45</v>
      </c>
      <c r="E90" s="184">
        <v>4700</v>
      </c>
      <c r="F90" s="188">
        <v>0</v>
      </c>
      <c r="G90" s="95">
        <f t="shared" si="15"/>
        <v>0</v>
      </c>
      <c r="H90" s="184">
        <v>4700</v>
      </c>
      <c r="I90" s="188">
        <v>0</v>
      </c>
      <c r="J90" s="119">
        <f t="shared" si="16"/>
        <v>0</v>
      </c>
      <c r="K90" s="200"/>
      <c r="L90" s="193"/>
      <c r="M90" s="122"/>
      <c r="N90" s="200"/>
      <c r="O90" s="193"/>
      <c r="P90" s="28"/>
    </row>
    <row r="91" spans="1:16" ht="18.75">
      <c r="A91" s="7"/>
      <c r="B91" s="15"/>
      <c r="C91" s="15">
        <v>4430</v>
      </c>
      <c r="D91" s="9" t="s">
        <v>53</v>
      </c>
      <c r="E91" s="184">
        <v>8000</v>
      </c>
      <c r="F91" s="188">
        <v>1562</v>
      </c>
      <c r="G91" s="95">
        <f t="shared" si="15"/>
        <v>0.19525</v>
      </c>
      <c r="H91" s="184">
        <v>8000</v>
      </c>
      <c r="I91" s="188">
        <v>1562</v>
      </c>
      <c r="J91" s="119">
        <f t="shared" si="16"/>
        <v>0.19525</v>
      </c>
      <c r="K91" s="200"/>
      <c r="L91" s="193"/>
      <c r="M91" s="122"/>
      <c r="N91" s="200"/>
      <c r="O91" s="193"/>
      <c r="P91" s="28"/>
    </row>
    <row r="92" spans="1:16" ht="19.5" thickBot="1">
      <c r="A92" s="7"/>
      <c r="B92" s="15"/>
      <c r="C92" s="15">
        <v>4440</v>
      </c>
      <c r="D92" s="9" t="s">
        <v>129</v>
      </c>
      <c r="E92" s="184">
        <v>700</v>
      </c>
      <c r="F92" s="188">
        <v>0</v>
      </c>
      <c r="G92" s="95">
        <f t="shared" si="15"/>
        <v>0</v>
      </c>
      <c r="H92" s="184">
        <v>700</v>
      </c>
      <c r="I92" s="188">
        <v>0</v>
      </c>
      <c r="J92" s="119">
        <f t="shared" si="16"/>
        <v>0</v>
      </c>
      <c r="K92" s="200"/>
      <c r="L92" s="193"/>
      <c r="M92" s="122"/>
      <c r="N92" s="200"/>
      <c r="O92" s="193"/>
      <c r="P92" s="28"/>
    </row>
    <row r="93" spans="1:16" ht="38.25" thickBot="1">
      <c r="A93" s="174">
        <v>751</v>
      </c>
      <c r="B93" s="12"/>
      <c r="C93" s="12"/>
      <c r="D93" s="165" t="s">
        <v>110</v>
      </c>
      <c r="E93" s="186">
        <f>E94+E100</f>
        <v>4456</v>
      </c>
      <c r="F93" s="186">
        <f>F94+F100</f>
        <v>3691.6399999999994</v>
      </c>
      <c r="G93" s="83">
        <f>F93/E93</f>
        <v>0.8284649910233391</v>
      </c>
      <c r="H93" s="186"/>
      <c r="I93" s="186"/>
      <c r="J93" s="167"/>
      <c r="K93" s="209">
        <f>K94+K100</f>
        <v>4456</v>
      </c>
      <c r="L93" s="186">
        <f>L94+L100</f>
        <v>3691.6399999999994</v>
      </c>
      <c r="M93" s="124">
        <f>L93/K93</f>
        <v>0.8284649910233391</v>
      </c>
      <c r="N93" s="199"/>
      <c r="O93" s="186"/>
      <c r="P93" s="14"/>
    </row>
    <row r="94" spans="1:16" ht="37.5">
      <c r="A94" s="53"/>
      <c r="B94" s="169">
        <v>75101</v>
      </c>
      <c r="C94" s="15"/>
      <c r="D94" s="42" t="s">
        <v>130</v>
      </c>
      <c r="E94" s="182">
        <f>SUM(E95:E99)</f>
        <v>984</v>
      </c>
      <c r="F94" s="182">
        <f>SUM(F95:F99)</f>
        <v>219.64</v>
      </c>
      <c r="G94" s="113">
        <f>F94/E94</f>
        <v>0.22321138211382113</v>
      </c>
      <c r="H94" s="183"/>
      <c r="I94" s="182"/>
      <c r="J94" s="145"/>
      <c r="K94" s="183">
        <f>SUM(K95:K99)</f>
        <v>984</v>
      </c>
      <c r="L94" s="182">
        <f>SUM(L95:L99)</f>
        <v>219.64</v>
      </c>
      <c r="M94" s="118">
        <f>L94/K94</f>
        <v>0.22321138211382113</v>
      </c>
      <c r="N94" s="197"/>
      <c r="O94" s="182"/>
      <c r="P94" s="26"/>
    </row>
    <row r="95" spans="1:16" ht="18.75">
      <c r="A95" s="53"/>
      <c r="B95" s="15"/>
      <c r="C95" s="15">
        <v>4110</v>
      </c>
      <c r="D95" s="9" t="s">
        <v>49</v>
      </c>
      <c r="E95" s="184">
        <v>69</v>
      </c>
      <c r="F95" s="188">
        <v>17.19</v>
      </c>
      <c r="G95" s="95">
        <f aca="true" t="shared" si="17" ref="G95:G111">F95/E95</f>
        <v>0.2491304347826087</v>
      </c>
      <c r="H95" s="188"/>
      <c r="I95" s="193"/>
      <c r="J95" s="145"/>
      <c r="K95" s="210">
        <v>69</v>
      </c>
      <c r="L95" s="184">
        <v>17.19</v>
      </c>
      <c r="M95" s="133">
        <f aca="true" t="shared" si="18" ref="M95:M107">L95/K95</f>
        <v>0.2491304347826087</v>
      </c>
      <c r="N95" s="200"/>
      <c r="O95" s="193"/>
      <c r="P95" s="28"/>
    </row>
    <row r="96" spans="1:16" ht="18.75">
      <c r="A96" s="7"/>
      <c r="B96" s="15"/>
      <c r="C96" s="15">
        <v>4120</v>
      </c>
      <c r="D96" s="9" t="s">
        <v>50</v>
      </c>
      <c r="E96" s="184">
        <v>10</v>
      </c>
      <c r="F96" s="188">
        <v>2.45</v>
      </c>
      <c r="G96" s="95">
        <f t="shared" si="17"/>
        <v>0.24500000000000002</v>
      </c>
      <c r="H96" s="188"/>
      <c r="I96" s="193"/>
      <c r="J96" s="119"/>
      <c r="K96" s="200">
        <v>10</v>
      </c>
      <c r="L96" s="193">
        <v>2.45</v>
      </c>
      <c r="M96" s="133">
        <f t="shared" si="18"/>
        <v>0.24500000000000002</v>
      </c>
      <c r="N96" s="200"/>
      <c r="O96" s="193"/>
      <c r="P96" s="28"/>
    </row>
    <row r="97" spans="1:16" ht="18.75">
      <c r="A97" s="47"/>
      <c r="B97" s="15"/>
      <c r="C97" s="15">
        <v>4170</v>
      </c>
      <c r="D97" s="9" t="s">
        <v>94</v>
      </c>
      <c r="E97" s="184">
        <v>400</v>
      </c>
      <c r="F97" s="188">
        <v>100</v>
      </c>
      <c r="G97" s="95">
        <f t="shared" si="17"/>
        <v>0.25</v>
      </c>
      <c r="H97" s="188"/>
      <c r="I97" s="193"/>
      <c r="J97" s="145"/>
      <c r="K97" s="211">
        <v>400</v>
      </c>
      <c r="L97" s="193">
        <v>100</v>
      </c>
      <c r="M97" s="133">
        <f t="shared" si="18"/>
        <v>0.25</v>
      </c>
      <c r="N97" s="200"/>
      <c r="O97" s="193"/>
      <c r="P97" s="28"/>
    </row>
    <row r="98" spans="1:16" ht="18.75">
      <c r="A98" s="47"/>
      <c r="B98" s="15"/>
      <c r="C98" s="15">
        <v>4210</v>
      </c>
      <c r="D98" s="9" t="s">
        <v>43</v>
      </c>
      <c r="E98" s="184">
        <v>250</v>
      </c>
      <c r="F98" s="188">
        <v>0</v>
      </c>
      <c r="G98" s="95">
        <f t="shared" si="17"/>
        <v>0</v>
      </c>
      <c r="H98" s="188"/>
      <c r="I98" s="193"/>
      <c r="J98" s="145"/>
      <c r="K98" s="210">
        <v>250</v>
      </c>
      <c r="L98" s="184">
        <v>0</v>
      </c>
      <c r="M98" s="133">
        <f t="shared" si="18"/>
        <v>0</v>
      </c>
      <c r="N98" s="200"/>
      <c r="O98" s="193"/>
      <c r="P98" s="28"/>
    </row>
    <row r="99" spans="1:16" ht="18.75">
      <c r="A99" s="47"/>
      <c r="B99" s="15"/>
      <c r="C99" s="15">
        <v>4300</v>
      </c>
      <c r="D99" s="9" t="s">
        <v>45</v>
      </c>
      <c r="E99" s="184">
        <v>255</v>
      </c>
      <c r="F99" s="188">
        <v>100</v>
      </c>
      <c r="G99" s="95">
        <f t="shared" si="17"/>
        <v>0.39215686274509803</v>
      </c>
      <c r="H99" s="188"/>
      <c r="I99" s="193"/>
      <c r="J99" s="145"/>
      <c r="K99" s="210">
        <v>255</v>
      </c>
      <c r="L99" s="184">
        <v>100</v>
      </c>
      <c r="M99" s="133">
        <f t="shared" si="18"/>
        <v>0.39215686274509803</v>
      </c>
      <c r="N99" s="200"/>
      <c r="O99" s="193"/>
      <c r="P99" s="28"/>
    </row>
    <row r="100" spans="1:16" ht="75">
      <c r="A100" s="47"/>
      <c r="B100" s="170">
        <v>75109</v>
      </c>
      <c r="C100" s="22"/>
      <c r="D100" s="148" t="s">
        <v>145</v>
      </c>
      <c r="E100" s="189">
        <f>SUM(E101:E107)</f>
        <v>3472</v>
      </c>
      <c r="F100" s="187">
        <f>SUM(F101:F107)</f>
        <v>3471.9999999999995</v>
      </c>
      <c r="G100" s="94">
        <f t="shared" si="17"/>
        <v>0.9999999999999999</v>
      </c>
      <c r="H100" s="195"/>
      <c r="I100" s="196"/>
      <c r="J100" s="160"/>
      <c r="K100" s="187">
        <f>SUM(K101:K107)</f>
        <v>3472</v>
      </c>
      <c r="L100" s="187">
        <f>SUM(L101:L107)</f>
        <v>3471.9999999999995</v>
      </c>
      <c r="M100" s="134">
        <f t="shared" si="18"/>
        <v>0.9999999999999999</v>
      </c>
      <c r="N100" s="221"/>
      <c r="O100" s="196"/>
      <c r="P100" s="127"/>
    </row>
    <row r="101" spans="1:16" ht="18.75">
      <c r="A101" s="47"/>
      <c r="B101" s="15"/>
      <c r="C101" s="15">
        <v>3030</v>
      </c>
      <c r="D101" s="9" t="s">
        <v>57</v>
      </c>
      <c r="E101" s="184">
        <v>2235</v>
      </c>
      <c r="F101" s="184">
        <v>2235.35</v>
      </c>
      <c r="G101" s="95">
        <f t="shared" si="17"/>
        <v>1.0001565995525727</v>
      </c>
      <c r="H101" s="188"/>
      <c r="I101" s="193"/>
      <c r="J101" s="145"/>
      <c r="K101" s="185">
        <v>2235</v>
      </c>
      <c r="L101" s="184">
        <v>2235.35</v>
      </c>
      <c r="M101" s="133">
        <f t="shared" si="18"/>
        <v>1.0001565995525727</v>
      </c>
      <c r="N101" s="211"/>
      <c r="O101" s="193"/>
      <c r="P101" s="28"/>
    </row>
    <row r="102" spans="1:16" ht="18.75">
      <c r="A102" s="47"/>
      <c r="B102" s="15"/>
      <c r="C102" s="15">
        <v>4110</v>
      </c>
      <c r="D102" s="9" t="s">
        <v>49</v>
      </c>
      <c r="E102" s="184">
        <v>26</v>
      </c>
      <c r="F102" s="184">
        <v>25.85</v>
      </c>
      <c r="G102" s="95">
        <f t="shared" si="17"/>
        <v>0.9942307692307693</v>
      </c>
      <c r="H102" s="188"/>
      <c r="I102" s="193"/>
      <c r="J102" s="145"/>
      <c r="K102" s="185">
        <v>26</v>
      </c>
      <c r="L102" s="184">
        <v>25.85</v>
      </c>
      <c r="M102" s="133">
        <f t="shared" si="18"/>
        <v>0.9942307692307693</v>
      </c>
      <c r="N102" s="211"/>
      <c r="O102" s="193"/>
      <c r="P102" s="28"/>
    </row>
    <row r="103" spans="1:16" ht="18.75">
      <c r="A103" s="47"/>
      <c r="B103" s="15"/>
      <c r="C103" s="15">
        <v>4120</v>
      </c>
      <c r="D103" s="9" t="s">
        <v>50</v>
      </c>
      <c r="E103" s="184">
        <v>4</v>
      </c>
      <c r="F103" s="184">
        <v>3.68</v>
      </c>
      <c r="G103" s="95">
        <f t="shared" si="17"/>
        <v>0.92</v>
      </c>
      <c r="H103" s="188"/>
      <c r="I103" s="193"/>
      <c r="J103" s="145"/>
      <c r="K103" s="185">
        <v>4</v>
      </c>
      <c r="L103" s="184">
        <v>3.68</v>
      </c>
      <c r="M103" s="133">
        <f t="shared" si="18"/>
        <v>0.92</v>
      </c>
      <c r="N103" s="211"/>
      <c r="O103" s="193"/>
      <c r="P103" s="28"/>
    </row>
    <row r="104" spans="1:16" ht="18.75">
      <c r="A104" s="47"/>
      <c r="B104" s="15"/>
      <c r="C104" s="15">
        <v>4170</v>
      </c>
      <c r="D104" s="9" t="s">
        <v>94</v>
      </c>
      <c r="E104" s="184">
        <v>150</v>
      </c>
      <c r="F104" s="184">
        <v>150</v>
      </c>
      <c r="G104" s="95">
        <f t="shared" si="17"/>
        <v>1</v>
      </c>
      <c r="H104" s="188"/>
      <c r="I104" s="193"/>
      <c r="J104" s="145"/>
      <c r="K104" s="185">
        <v>150</v>
      </c>
      <c r="L104" s="184">
        <v>150</v>
      </c>
      <c r="M104" s="133">
        <f t="shared" si="18"/>
        <v>1</v>
      </c>
      <c r="N104" s="211"/>
      <c r="O104" s="193"/>
      <c r="P104" s="28"/>
    </row>
    <row r="105" spans="1:16" ht="18.75">
      <c r="A105" s="47"/>
      <c r="B105" s="15"/>
      <c r="C105" s="15">
        <v>4210</v>
      </c>
      <c r="D105" s="9" t="s">
        <v>43</v>
      </c>
      <c r="E105" s="184">
        <v>784</v>
      </c>
      <c r="F105" s="184">
        <v>784.19</v>
      </c>
      <c r="G105" s="95">
        <f t="shared" si="17"/>
        <v>1.0002423469387756</v>
      </c>
      <c r="H105" s="188"/>
      <c r="I105" s="193"/>
      <c r="J105" s="145"/>
      <c r="K105" s="185">
        <v>784</v>
      </c>
      <c r="L105" s="184">
        <v>784.19</v>
      </c>
      <c r="M105" s="133">
        <f t="shared" si="18"/>
        <v>1.0002423469387756</v>
      </c>
      <c r="N105" s="211"/>
      <c r="O105" s="193"/>
      <c r="P105" s="28"/>
    </row>
    <row r="106" spans="1:16" ht="18.75">
      <c r="A106" s="47"/>
      <c r="B106" s="15"/>
      <c r="C106" s="15">
        <v>4300</v>
      </c>
      <c r="D106" s="9" t="s">
        <v>45</v>
      </c>
      <c r="E106" s="184">
        <v>74</v>
      </c>
      <c r="F106" s="184">
        <v>73.64</v>
      </c>
      <c r="G106" s="95">
        <f t="shared" si="17"/>
        <v>0.9951351351351352</v>
      </c>
      <c r="H106" s="188"/>
      <c r="I106" s="193"/>
      <c r="J106" s="145"/>
      <c r="K106" s="185">
        <v>74</v>
      </c>
      <c r="L106" s="184">
        <v>73.64</v>
      </c>
      <c r="M106" s="133">
        <f t="shared" si="18"/>
        <v>0.9951351351351352</v>
      </c>
      <c r="N106" s="211"/>
      <c r="O106" s="193"/>
      <c r="P106" s="28"/>
    </row>
    <row r="107" spans="1:16" ht="19.5" thickBot="1">
      <c r="A107" s="47"/>
      <c r="B107" s="15"/>
      <c r="C107" s="15">
        <v>4410</v>
      </c>
      <c r="D107" s="9" t="s">
        <v>55</v>
      </c>
      <c r="E107" s="184">
        <v>199</v>
      </c>
      <c r="F107" s="184">
        <v>199.29</v>
      </c>
      <c r="G107" s="95">
        <f t="shared" si="17"/>
        <v>1.0014572864321607</v>
      </c>
      <c r="H107" s="188"/>
      <c r="I107" s="193"/>
      <c r="J107" s="161"/>
      <c r="K107" s="185">
        <v>199</v>
      </c>
      <c r="L107" s="184">
        <v>199.29</v>
      </c>
      <c r="M107" s="162">
        <f t="shared" si="18"/>
        <v>1.0014572864321607</v>
      </c>
      <c r="N107" s="211"/>
      <c r="O107" s="193"/>
      <c r="P107" s="28"/>
    </row>
    <row r="108" spans="1:16" ht="42.75" customHeight="1" thickBot="1">
      <c r="A108" s="174">
        <v>754</v>
      </c>
      <c r="B108" s="12"/>
      <c r="C108" s="12"/>
      <c r="D108" s="165" t="s">
        <v>131</v>
      </c>
      <c r="E108" s="186">
        <f>E111+E109+E125</f>
        <v>110000</v>
      </c>
      <c r="F108" s="186">
        <f>F111+F109+F125</f>
        <v>56058.01000000001</v>
      </c>
      <c r="G108" s="83">
        <f t="shared" si="17"/>
        <v>0.5096182727272728</v>
      </c>
      <c r="H108" s="186">
        <f>H109+H111+H125</f>
        <v>110000</v>
      </c>
      <c r="I108" s="186">
        <f>I111+I109+I125</f>
        <v>56058.01000000001</v>
      </c>
      <c r="J108" s="84">
        <f>I108/H108</f>
        <v>0.5096182727272728</v>
      </c>
      <c r="K108" s="199"/>
      <c r="L108" s="186"/>
      <c r="M108" s="124"/>
      <c r="N108" s="199"/>
      <c r="O108" s="186"/>
      <c r="P108" s="14"/>
    </row>
    <row r="109" spans="1:16" ht="18.75">
      <c r="A109" s="5"/>
      <c r="B109" s="15">
        <v>75405</v>
      </c>
      <c r="C109" s="15"/>
      <c r="D109" s="15" t="s">
        <v>105</v>
      </c>
      <c r="E109" s="189">
        <f>E110</f>
        <v>4700</v>
      </c>
      <c r="F109" s="187">
        <f>F110</f>
        <v>0</v>
      </c>
      <c r="G109" s="94">
        <f>F109/E109</f>
        <v>0</v>
      </c>
      <c r="H109" s="183">
        <f>H110</f>
        <v>4700</v>
      </c>
      <c r="I109" s="183">
        <f>I110</f>
        <v>0</v>
      </c>
      <c r="J109" s="79">
        <f>I109/H109</f>
        <v>0</v>
      </c>
      <c r="K109" s="212"/>
      <c r="L109" s="213"/>
      <c r="M109" s="143"/>
      <c r="N109" s="212"/>
      <c r="O109" s="213"/>
      <c r="P109" s="144"/>
    </row>
    <row r="110" spans="1:16" ht="56.25">
      <c r="A110" s="5"/>
      <c r="B110" s="25"/>
      <c r="C110" s="169">
        <v>6620</v>
      </c>
      <c r="D110" s="177" t="s">
        <v>146</v>
      </c>
      <c r="E110" s="185">
        <v>4700</v>
      </c>
      <c r="F110" s="185">
        <v>0</v>
      </c>
      <c r="G110" s="226">
        <f t="shared" si="17"/>
        <v>0</v>
      </c>
      <c r="H110" s="185">
        <v>4700</v>
      </c>
      <c r="I110" s="185">
        <v>0</v>
      </c>
      <c r="J110" s="119">
        <f>I110/H110</f>
        <v>0</v>
      </c>
      <c r="K110" s="212"/>
      <c r="L110" s="213"/>
      <c r="M110" s="143"/>
      <c r="N110" s="212"/>
      <c r="O110" s="213"/>
      <c r="P110" s="144"/>
    </row>
    <row r="111" spans="1:16" ht="18.75">
      <c r="A111" s="7"/>
      <c r="B111" s="22">
        <v>75412</v>
      </c>
      <c r="C111" s="22"/>
      <c r="D111" s="22" t="s">
        <v>61</v>
      </c>
      <c r="E111" s="187">
        <f>SUM(E112:E124)</f>
        <v>98800</v>
      </c>
      <c r="F111" s="187">
        <f>SUM(F112:F124)</f>
        <v>49558.01000000001</v>
      </c>
      <c r="G111" s="113">
        <f t="shared" si="17"/>
        <v>0.5015992914979758</v>
      </c>
      <c r="H111" s="187">
        <f>SUM(H112:H124)</f>
        <v>98800</v>
      </c>
      <c r="I111" s="187">
        <f>SUM(I112:I124)</f>
        <v>49558.01000000001</v>
      </c>
      <c r="J111" s="79">
        <f>I111/H111</f>
        <v>0.5015992914979758</v>
      </c>
      <c r="K111" s="201"/>
      <c r="L111" s="196"/>
      <c r="M111" s="126"/>
      <c r="N111" s="201"/>
      <c r="O111" s="196"/>
      <c r="P111" s="127"/>
    </row>
    <row r="112" spans="1:16" ht="18.75">
      <c r="A112" s="7"/>
      <c r="B112" s="15"/>
      <c r="C112" s="15">
        <v>4010</v>
      </c>
      <c r="D112" s="9" t="s">
        <v>47</v>
      </c>
      <c r="E112" s="184">
        <v>24750</v>
      </c>
      <c r="F112" s="188">
        <v>11393.58</v>
      </c>
      <c r="G112" s="95">
        <f aca="true" t="shared" si="19" ref="G112:G121">F112/E112</f>
        <v>0.4603466666666667</v>
      </c>
      <c r="H112" s="184">
        <v>24750</v>
      </c>
      <c r="I112" s="188">
        <v>11393.58</v>
      </c>
      <c r="J112" s="119">
        <f aca="true" t="shared" si="20" ref="J112:J122">I112/H112</f>
        <v>0.4603466666666667</v>
      </c>
      <c r="K112" s="200"/>
      <c r="L112" s="193"/>
      <c r="M112" s="122"/>
      <c r="N112" s="200"/>
      <c r="O112" s="193"/>
      <c r="P112" s="28"/>
    </row>
    <row r="113" spans="1:16" ht="18.75">
      <c r="A113" s="7"/>
      <c r="B113" s="15"/>
      <c r="C113" s="15">
        <v>4040</v>
      </c>
      <c r="D113" s="9" t="s">
        <v>48</v>
      </c>
      <c r="E113" s="184">
        <v>1950</v>
      </c>
      <c r="F113" s="188">
        <v>1890.53</v>
      </c>
      <c r="G113" s="95">
        <f t="shared" si="19"/>
        <v>0.9695025641025641</v>
      </c>
      <c r="H113" s="184">
        <v>1950</v>
      </c>
      <c r="I113" s="188">
        <v>1890.53</v>
      </c>
      <c r="J113" s="119">
        <f t="shared" si="20"/>
        <v>0.9695025641025641</v>
      </c>
      <c r="K113" s="200"/>
      <c r="L113" s="193"/>
      <c r="M113" s="122"/>
      <c r="N113" s="200"/>
      <c r="O113" s="193"/>
      <c r="P113" s="28"/>
    </row>
    <row r="114" spans="1:16" ht="18.75">
      <c r="A114" s="7"/>
      <c r="B114" s="15"/>
      <c r="C114" s="15">
        <v>4110</v>
      </c>
      <c r="D114" s="9" t="s">
        <v>49</v>
      </c>
      <c r="E114" s="184">
        <v>4700</v>
      </c>
      <c r="F114" s="188">
        <v>2252.29</v>
      </c>
      <c r="G114" s="95">
        <f t="shared" si="19"/>
        <v>0.47921063829787236</v>
      </c>
      <c r="H114" s="184">
        <v>4700</v>
      </c>
      <c r="I114" s="188">
        <v>2252.29</v>
      </c>
      <c r="J114" s="119">
        <f t="shared" si="20"/>
        <v>0.47921063829787236</v>
      </c>
      <c r="K114" s="200"/>
      <c r="L114" s="193"/>
      <c r="M114" s="122"/>
      <c r="N114" s="200"/>
      <c r="O114" s="193"/>
      <c r="P114" s="28"/>
    </row>
    <row r="115" spans="1:16" ht="18.75">
      <c r="A115" s="7"/>
      <c r="B115" s="15"/>
      <c r="C115" s="15">
        <v>4120</v>
      </c>
      <c r="D115" s="9" t="s">
        <v>50</v>
      </c>
      <c r="E115" s="184">
        <v>700</v>
      </c>
      <c r="F115" s="188">
        <v>320.47</v>
      </c>
      <c r="G115" s="95">
        <f t="shared" si="19"/>
        <v>0.45781428571428573</v>
      </c>
      <c r="H115" s="184">
        <v>700</v>
      </c>
      <c r="I115" s="188">
        <v>320.47</v>
      </c>
      <c r="J115" s="119">
        <f t="shared" si="20"/>
        <v>0.45781428571428573</v>
      </c>
      <c r="K115" s="200"/>
      <c r="L115" s="193"/>
      <c r="M115" s="122"/>
      <c r="N115" s="200"/>
      <c r="O115" s="193"/>
      <c r="P115" s="28"/>
    </row>
    <row r="116" spans="1:16" ht="18.75">
      <c r="A116" s="7"/>
      <c r="B116" s="15"/>
      <c r="C116" s="15">
        <v>4140</v>
      </c>
      <c r="D116" s="9" t="s">
        <v>51</v>
      </c>
      <c r="E116" s="184">
        <v>600</v>
      </c>
      <c r="F116" s="188">
        <v>471.83</v>
      </c>
      <c r="G116" s="95">
        <f t="shared" si="19"/>
        <v>0.7863833333333333</v>
      </c>
      <c r="H116" s="184">
        <v>600</v>
      </c>
      <c r="I116" s="188">
        <v>471.83</v>
      </c>
      <c r="J116" s="119">
        <f t="shared" si="20"/>
        <v>0.7863833333333333</v>
      </c>
      <c r="K116" s="200"/>
      <c r="L116" s="193"/>
      <c r="M116" s="122"/>
      <c r="N116" s="200"/>
      <c r="O116" s="193"/>
      <c r="P116" s="28"/>
    </row>
    <row r="117" spans="1:16" ht="18.75">
      <c r="A117" s="7"/>
      <c r="B117" s="15"/>
      <c r="C117" s="15">
        <v>4170</v>
      </c>
      <c r="D117" s="9" t="s">
        <v>94</v>
      </c>
      <c r="E117" s="184">
        <v>300</v>
      </c>
      <c r="F117" s="188">
        <v>300</v>
      </c>
      <c r="G117" s="95">
        <f>F117/E117</f>
        <v>1</v>
      </c>
      <c r="H117" s="184">
        <v>300</v>
      </c>
      <c r="I117" s="188">
        <v>300</v>
      </c>
      <c r="J117" s="119">
        <f>I117/H117</f>
        <v>1</v>
      </c>
      <c r="K117" s="200"/>
      <c r="L117" s="193"/>
      <c r="M117" s="122"/>
      <c r="N117" s="200"/>
      <c r="O117" s="193"/>
      <c r="P117" s="28"/>
    </row>
    <row r="118" spans="1:16" ht="18.75">
      <c r="A118" s="7"/>
      <c r="B118" s="15"/>
      <c r="C118" s="15">
        <v>4210</v>
      </c>
      <c r="D118" s="9" t="s">
        <v>43</v>
      </c>
      <c r="E118" s="184">
        <v>10000</v>
      </c>
      <c r="F118" s="188">
        <v>7074.26</v>
      </c>
      <c r="G118" s="95">
        <f t="shared" si="19"/>
        <v>0.707426</v>
      </c>
      <c r="H118" s="184">
        <v>10000</v>
      </c>
      <c r="I118" s="188">
        <v>7074.26</v>
      </c>
      <c r="J118" s="119">
        <f t="shared" si="20"/>
        <v>0.707426</v>
      </c>
      <c r="K118" s="200"/>
      <c r="L118" s="193"/>
      <c r="M118" s="122"/>
      <c r="N118" s="200"/>
      <c r="O118" s="193"/>
      <c r="P118" s="28"/>
    </row>
    <row r="119" spans="1:16" ht="18.75">
      <c r="A119" s="7"/>
      <c r="B119" s="15"/>
      <c r="C119" s="15">
        <v>4260</v>
      </c>
      <c r="D119" s="9" t="s">
        <v>52</v>
      </c>
      <c r="E119" s="184">
        <v>25700</v>
      </c>
      <c r="F119" s="188">
        <v>12266.73</v>
      </c>
      <c r="G119" s="95">
        <f t="shared" si="19"/>
        <v>0.47730466926070036</v>
      </c>
      <c r="H119" s="184">
        <v>25700</v>
      </c>
      <c r="I119" s="188">
        <v>12266.73</v>
      </c>
      <c r="J119" s="119">
        <f t="shared" si="20"/>
        <v>0.47730466926070036</v>
      </c>
      <c r="K119" s="200"/>
      <c r="L119" s="193"/>
      <c r="M119" s="122"/>
      <c r="N119" s="200"/>
      <c r="O119" s="193"/>
      <c r="P119" s="28"/>
    </row>
    <row r="120" spans="1:16" ht="18.75">
      <c r="A120" s="7"/>
      <c r="B120" s="15"/>
      <c r="C120" s="15">
        <v>4270</v>
      </c>
      <c r="D120" s="9" t="s">
        <v>44</v>
      </c>
      <c r="E120" s="184">
        <v>2500</v>
      </c>
      <c r="F120" s="188">
        <v>428.23</v>
      </c>
      <c r="G120" s="95">
        <f t="shared" si="19"/>
        <v>0.171292</v>
      </c>
      <c r="H120" s="184">
        <v>2500</v>
      </c>
      <c r="I120" s="188">
        <v>428.23</v>
      </c>
      <c r="J120" s="119">
        <f t="shared" si="20"/>
        <v>0.171292</v>
      </c>
      <c r="K120" s="200"/>
      <c r="L120" s="193"/>
      <c r="M120" s="122"/>
      <c r="N120" s="200"/>
      <c r="O120" s="193"/>
      <c r="P120" s="28"/>
    </row>
    <row r="121" spans="1:16" ht="18.75">
      <c r="A121" s="7"/>
      <c r="B121" s="15"/>
      <c r="C121" s="15">
        <v>4300</v>
      </c>
      <c r="D121" s="9" t="s">
        <v>45</v>
      </c>
      <c r="E121" s="184">
        <v>18600</v>
      </c>
      <c r="F121" s="188">
        <v>9295.09</v>
      </c>
      <c r="G121" s="95">
        <f t="shared" si="19"/>
        <v>0.4997360215053763</v>
      </c>
      <c r="H121" s="184">
        <v>18600</v>
      </c>
      <c r="I121" s="188">
        <v>9295.09</v>
      </c>
      <c r="J121" s="119">
        <f t="shared" si="20"/>
        <v>0.4997360215053763</v>
      </c>
      <c r="K121" s="200"/>
      <c r="L121" s="193"/>
      <c r="M121" s="122"/>
      <c r="N121" s="200"/>
      <c r="O121" s="193"/>
      <c r="P121" s="28"/>
    </row>
    <row r="122" spans="1:16" ht="18.75">
      <c r="A122" s="7"/>
      <c r="B122" s="15"/>
      <c r="C122" s="15">
        <v>4410</v>
      </c>
      <c r="D122" s="9" t="s">
        <v>55</v>
      </c>
      <c r="E122" s="184">
        <v>500</v>
      </c>
      <c r="F122" s="188">
        <v>0</v>
      </c>
      <c r="G122" s="95">
        <f>F122/E122</f>
        <v>0</v>
      </c>
      <c r="H122" s="184">
        <v>500</v>
      </c>
      <c r="I122" s="188">
        <v>0</v>
      </c>
      <c r="J122" s="119">
        <f t="shared" si="20"/>
        <v>0</v>
      </c>
      <c r="K122" s="200"/>
      <c r="L122" s="193"/>
      <c r="M122" s="122"/>
      <c r="N122" s="200"/>
      <c r="O122" s="193"/>
      <c r="P122" s="28"/>
    </row>
    <row r="123" spans="1:16" ht="18.75">
      <c r="A123" s="7"/>
      <c r="B123" s="15"/>
      <c r="C123" s="15">
        <v>4420</v>
      </c>
      <c r="D123" s="9" t="s">
        <v>58</v>
      </c>
      <c r="E123" s="184">
        <v>500</v>
      </c>
      <c r="F123" s="188">
        <v>0</v>
      </c>
      <c r="G123" s="95">
        <f>F123/E123</f>
        <v>0</v>
      </c>
      <c r="H123" s="184">
        <v>500</v>
      </c>
      <c r="I123" s="188">
        <v>0</v>
      </c>
      <c r="J123" s="119">
        <f>I123/H123</f>
        <v>0</v>
      </c>
      <c r="K123" s="200"/>
      <c r="L123" s="193"/>
      <c r="M123" s="122"/>
      <c r="N123" s="200"/>
      <c r="O123" s="193"/>
      <c r="P123" s="28"/>
    </row>
    <row r="124" spans="1:16" ht="18.75">
      <c r="A124" s="7"/>
      <c r="B124" s="15"/>
      <c r="C124" s="15">
        <v>4430</v>
      </c>
      <c r="D124" s="9" t="s">
        <v>53</v>
      </c>
      <c r="E124" s="184">
        <v>8000</v>
      </c>
      <c r="F124" s="184">
        <v>3865</v>
      </c>
      <c r="G124" s="95">
        <f>F124/E124</f>
        <v>0.483125</v>
      </c>
      <c r="H124" s="184">
        <v>8000</v>
      </c>
      <c r="I124" s="184">
        <v>3865</v>
      </c>
      <c r="J124" s="123">
        <f>I124/H124</f>
        <v>0.483125</v>
      </c>
      <c r="K124" s="200"/>
      <c r="L124" s="193"/>
      <c r="M124" s="122"/>
      <c r="N124" s="200"/>
      <c r="O124" s="193"/>
      <c r="P124" s="28"/>
    </row>
    <row r="125" spans="1:16" ht="18.75">
      <c r="A125" s="47"/>
      <c r="B125" s="22">
        <v>75414</v>
      </c>
      <c r="C125" s="22"/>
      <c r="D125" s="22" t="s">
        <v>147</v>
      </c>
      <c r="E125" s="189">
        <f>E126</f>
        <v>6500</v>
      </c>
      <c r="F125" s="189">
        <f>F126</f>
        <v>6500</v>
      </c>
      <c r="G125" s="94">
        <f>F125/E125</f>
        <v>1</v>
      </c>
      <c r="H125" s="187">
        <f>H126</f>
        <v>6500</v>
      </c>
      <c r="I125" s="189">
        <f>I126</f>
        <v>6500</v>
      </c>
      <c r="J125" s="132">
        <f>I125/H125</f>
        <v>1</v>
      </c>
      <c r="K125" s="201"/>
      <c r="L125" s="196"/>
      <c r="M125" s="126"/>
      <c r="N125" s="201"/>
      <c r="O125" s="196"/>
      <c r="P125" s="127"/>
    </row>
    <row r="126" spans="1:16" ht="19.5" thickBot="1">
      <c r="A126" s="47"/>
      <c r="B126" s="15"/>
      <c r="C126" s="15">
        <v>4210</v>
      </c>
      <c r="D126" s="9" t="s">
        <v>43</v>
      </c>
      <c r="E126" s="184">
        <v>6500</v>
      </c>
      <c r="F126" s="184">
        <v>6500</v>
      </c>
      <c r="G126" s="95">
        <f>F126/E126</f>
        <v>1</v>
      </c>
      <c r="H126" s="185">
        <v>6500</v>
      </c>
      <c r="I126" s="184">
        <v>6500</v>
      </c>
      <c r="J126" s="123">
        <f>I126/H126</f>
        <v>1</v>
      </c>
      <c r="K126" s="200"/>
      <c r="L126" s="193"/>
      <c r="M126" s="122"/>
      <c r="N126" s="200"/>
      <c r="O126" s="193"/>
      <c r="P126" s="28"/>
    </row>
    <row r="127" spans="1:16" ht="75" customHeight="1" thickBot="1">
      <c r="A127" s="175">
        <v>756</v>
      </c>
      <c r="B127" s="12"/>
      <c r="C127" s="12"/>
      <c r="D127" s="165" t="s">
        <v>112</v>
      </c>
      <c r="E127" s="186">
        <f>E128</f>
        <v>30000</v>
      </c>
      <c r="F127" s="186">
        <f>F128</f>
        <v>14934.039999999999</v>
      </c>
      <c r="G127" s="83">
        <f aca="true" t="shared" si="21" ref="G127:G135">F127/E127</f>
        <v>0.4978013333333333</v>
      </c>
      <c r="H127" s="192">
        <f>H128</f>
        <v>30000</v>
      </c>
      <c r="I127" s="186">
        <f>I128</f>
        <v>14934.039999999999</v>
      </c>
      <c r="J127" s="84">
        <f aca="true" t="shared" si="22" ref="J127:J135">I127/H127</f>
        <v>0.4978013333333333</v>
      </c>
      <c r="K127" s="199"/>
      <c r="L127" s="186"/>
      <c r="M127" s="124"/>
      <c r="N127" s="199"/>
      <c r="O127" s="186"/>
      <c r="P127" s="14"/>
    </row>
    <row r="128" spans="1:16" ht="37.5">
      <c r="A128" s="47"/>
      <c r="B128" s="169">
        <v>75647</v>
      </c>
      <c r="C128" s="15"/>
      <c r="D128" s="42" t="s">
        <v>132</v>
      </c>
      <c r="E128" s="182">
        <f>SUM(E129:E131)</f>
        <v>30000</v>
      </c>
      <c r="F128" s="182">
        <f>SUM(F129:F131)</f>
        <v>14934.039999999999</v>
      </c>
      <c r="G128" s="113">
        <f t="shared" si="21"/>
        <v>0.4978013333333333</v>
      </c>
      <c r="H128" s="182">
        <f>SUM(H129:H131)</f>
        <v>30000</v>
      </c>
      <c r="I128" s="182">
        <f>SUM(I129:I131)</f>
        <v>14934.039999999999</v>
      </c>
      <c r="J128" s="125">
        <f t="shared" si="22"/>
        <v>0.4978013333333333</v>
      </c>
      <c r="K128" s="197"/>
      <c r="L128" s="182"/>
      <c r="M128" s="130"/>
      <c r="N128" s="197"/>
      <c r="O128" s="182"/>
      <c r="P128" s="26"/>
    </row>
    <row r="129" spans="1:16" ht="18.75">
      <c r="A129" s="47"/>
      <c r="B129" s="15"/>
      <c r="C129" s="15">
        <v>4100</v>
      </c>
      <c r="D129" s="9" t="s">
        <v>60</v>
      </c>
      <c r="E129" s="184">
        <v>24000</v>
      </c>
      <c r="F129" s="188">
        <v>14229.9</v>
      </c>
      <c r="G129" s="95">
        <f t="shared" si="21"/>
        <v>0.5929125</v>
      </c>
      <c r="H129" s="188">
        <v>24000</v>
      </c>
      <c r="I129" s="188">
        <v>14229.9</v>
      </c>
      <c r="J129" s="119">
        <f t="shared" si="22"/>
        <v>0.5929125</v>
      </c>
      <c r="K129" s="200"/>
      <c r="L129" s="193"/>
      <c r="M129" s="122"/>
      <c r="N129" s="200"/>
      <c r="O129" s="193"/>
      <c r="P129" s="28"/>
    </row>
    <row r="130" spans="1:16" ht="18.75">
      <c r="A130" s="7"/>
      <c r="B130" s="15"/>
      <c r="C130" s="15">
        <v>4210</v>
      </c>
      <c r="D130" s="9" t="s">
        <v>43</v>
      </c>
      <c r="E130" s="184">
        <v>3000</v>
      </c>
      <c r="F130" s="188">
        <v>0</v>
      </c>
      <c r="G130" s="95">
        <f t="shared" si="21"/>
        <v>0</v>
      </c>
      <c r="H130" s="188">
        <v>3000</v>
      </c>
      <c r="I130" s="188">
        <v>0</v>
      </c>
      <c r="J130" s="119">
        <f t="shared" si="22"/>
        <v>0</v>
      </c>
      <c r="K130" s="200"/>
      <c r="L130" s="193"/>
      <c r="M130" s="122"/>
      <c r="N130" s="200"/>
      <c r="O130" s="193"/>
      <c r="P130" s="28"/>
    </row>
    <row r="131" spans="1:16" ht="19.5" thickBot="1">
      <c r="A131" s="47"/>
      <c r="B131" s="15"/>
      <c r="C131" s="15">
        <v>4300</v>
      </c>
      <c r="D131" s="9" t="s">
        <v>45</v>
      </c>
      <c r="E131" s="184">
        <f>H131</f>
        <v>3000</v>
      </c>
      <c r="F131" s="188">
        <v>704.14</v>
      </c>
      <c r="G131" s="95">
        <f t="shared" si="21"/>
        <v>0.23471333333333333</v>
      </c>
      <c r="H131" s="188">
        <v>3000</v>
      </c>
      <c r="I131" s="188">
        <v>704.14</v>
      </c>
      <c r="J131" s="119">
        <f t="shared" si="22"/>
        <v>0.23471333333333333</v>
      </c>
      <c r="K131" s="200"/>
      <c r="L131" s="193"/>
      <c r="M131" s="122"/>
      <c r="N131" s="200"/>
      <c r="O131" s="193"/>
      <c r="P131" s="28"/>
    </row>
    <row r="132" spans="1:16" ht="19.5" thickBot="1">
      <c r="A132" s="48">
        <v>757</v>
      </c>
      <c r="B132" s="12"/>
      <c r="C132" s="12"/>
      <c r="D132" s="12" t="s">
        <v>62</v>
      </c>
      <c r="E132" s="186">
        <f>E133</f>
        <v>85000</v>
      </c>
      <c r="F132" s="186">
        <f>F133</f>
        <v>52959.13</v>
      </c>
      <c r="G132" s="83">
        <f t="shared" si="21"/>
        <v>0.6230485882352941</v>
      </c>
      <c r="H132" s="192">
        <f>H133</f>
        <v>85000</v>
      </c>
      <c r="I132" s="186">
        <f>I133</f>
        <v>52959.13</v>
      </c>
      <c r="J132" s="84">
        <f t="shared" si="22"/>
        <v>0.6230485882352941</v>
      </c>
      <c r="K132" s="199"/>
      <c r="L132" s="186"/>
      <c r="M132" s="124"/>
      <c r="N132" s="199"/>
      <c r="O132" s="186"/>
      <c r="P132" s="14"/>
    </row>
    <row r="133" spans="1:16" ht="37.5">
      <c r="A133" s="47"/>
      <c r="B133" s="169">
        <v>75702</v>
      </c>
      <c r="C133" s="15"/>
      <c r="D133" s="42" t="s">
        <v>133</v>
      </c>
      <c r="E133" s="182">
        <f>SUM(E134:E135)</f>
        <v>85000</v>
      </c>
      <c r="F133" s="182">
        <f>SUM(F134:F135)</f>
        <v>52959.13</v>
      </c>
      <c r="G133" s="113">
        <f t="shared" si="21"/>
        <v>0.6230485882352941</v>
      </c>
      <c r="H133" s="182">
        <f>SUM(H134:H135)</f>
        <v>85000</v>
      </c>
      <c r="I133" s="182">
        <f>SUM(I134:I135)</f>
        <v>52959.13</v>
      </c>
      <c r="J133" s="125">
        <f t="shared" si="22"/>
        <v>0.6230485882352941</v>
      </c>
      <c r="K133" s="197"/>
      <c r="L133" s="182"/>
      <c r="M133" s="130"/>
      <c r="N133" s="197"/>
      <c r="O133" s="182"/>
      <c r="P133" s="26"/>
    </row>
    <row r="134" spans="1:16" ht="18.75">
      <c r="A134" s="47"/>
      <c r="B134" s="15"/>
      <c r="C134" s="15">
        <v>4300</v>
      </c>
      <c r="D134" s="9" t="s">
        <v>45</v>
      </c>
      <c r="E134" s="184">
        <v>17000</v>
      </c>
      <c r="F134" s="188">
        <v>6443.38</v>
      </c>
      <c r="G134" s="95">
        <f t="shared" si="21"/>
        <v>0.3790223529411765</v>
      </c>
      <c r="H134" s="188">
        <v>17000</v>
      </c>
      <c r="I134" s="188">
        <v>6443.38</v>
      </c>
      <c r="J134" s="119">
        <f t="shared" si="22"/>
        <v>0.3790223529411765</v>
      </c>
      <c r="K134" s="200"/>
      <c r="L134" s="193"/>
      <c r="M134" s="122"/>
      <c r="N134" s="200"/>
      <c r="O134" s="193"/>
      <c r="P134" s="28"/>
    </row>
    <row r="135" spans="1:16" ht="39.75" customHeight="1" thickBot="1">
      <c r="A135" s="47"/>
      <c r="B135" s="15"/>
      <c r="C135" s="169">
        <v>8070</v>
      </c>
      <c r="D135" s="177" t="s">
        <v>134</v>
      </c>
      <c r="E135" s="184">
        <v>68000</v>
      </c>
      <c r="F135" s="188">
        <v>46515.75</v>
      </c>
      <c r="G135" s="95">
        <f t="shared" si="21"/>
        <v>0.6840551470588235</v>
      </c>
      <c r="H135" s="188">
        <v>68000</v>
      </c>
      <c r="I135" s="188">
        <v>46515.75</v>
      </c>
      <c r="J135" s="119">
        <f t="shared" si="22"/>
        <v>0.6840551470588235</v>
      </c>
      <c r="K135" s="200"/>
      <c r="L135" s="193"/>
      <c r="M135" s="122"/>
      <c r="N135" s="200"/>
      <c r="O135" s="193"/>
      <c r="P135" s="28"/>
    </row>
    <row r="136" spans="1:16" ht="19.5" thickBot="1">
      <c r="A136" s="11">
        <v>801</v>
      </c>
      <c r="B136" s="12"/>
      <c r="C136" s="12"/>
      <c r="D136" s="12" t="s">
        <v>37</v>
      </c>
      <c r="E136" s="186">
        <f>E137+E156+E167+E180+E198+E203+E220+E236+E239</f>
        <v>5477426</v>
      </c>
      <c r="F136" s="186">
        <f>F137+F156+F167+F180+F198+F203+F220+F236+F239</f>
        <v>2977496.01</v>
      </c>
      <c r="G136" s="83">
        <f>F136/E136</f>
        <v>0.543594018431285</v>
      </c>
      <c r="H136" s="186">
        <f>H137+H156+H167+H180+H198+H203+H220+H236+H239</f>
        <v>5477426</v>
      </c>
      <c r="I136" s="186">
        <f>I137+I156+I167+I180+I198+I203+I220+I236+I239</f>
        <v>2977496.01</v>
      </c>
      <c r="J136" s="74">
        <f>I136/H136</f>
        <v>0.543594018431285</v>
      </c>
      <c r="K136" s="209"/>
      <c r="L136" s="186"/>
      <c r="M136" s="135"/>
      <c r="N136" s="202"/>
      <c r="O136" s="203"/>
      <c r="P136" s="129"/>
    </row>
    <row r="137" spans="1:16" ht="18.75">
      <c r="A137" s="7"/>
      <c r="B137" s="15">
        <v>80101</v>
      </c>
      <c r="C137" s="15"/>
      <c r="D137" s="15" t="s">
        <v>38</v>
      </c>
      <c r="E137" s="182">
        <f>SUM(E138:E155)</f>
        <v>2221716</v>
      </c>
      <c r="F137" s="182">
        <f>SUM(F138:F155)</f>
        <v>1249602.2299999997</v>
      </c>
      <c r="G137" s="113">
        <f>F137/E137</f>
        <v>0.5624491294116799</v>
      </c>
      <c r="H137" s="182">
        <f>SUM(H138:H155)</f>
        <v>2221716</v>
      </c>
      <c r="I137" s="182">
        <f>SUM(I138:I155)</f>
        <v>1249602.2299999997</v>
      </c>
      <c r="J137" s="125">
        <f>I137/H137</f>
        <v>0.5624491294116799</v>
      </c>
      <c r="K137" s="206"/>
      <c r="L137" s="182"/>
      <c r="M137" s="134"/>
      <c r="N137" s="197"/>
      <c r="O137" s="182"/>
      <c r="P137" s="26"/>
    </row>
    <row r="138" spans="1:16" ht="18.75">
      <c r="A138" s="7"/>
      <c r="B138" s="15"/>
      <c r="C138" s="15">
        <v>3020</v>
      </c>
      <c r="D138" s="9" t="s">
        <v>128</v>
      </c>
      <c r="E138" s="184">
        <v>108150</v>
      </c>
      <c r="F138" s="188">
        <v>57817.82</v>
      </c>
      <c r="G138" s="95">
        <f aca="true" t="shared" si="23" ref="G138:G166">F138/E138</f>
        <v>0.5346076745261211</v>
      </c>
      <c r="H138" s="184">
        <v>108150</v>
      </c>
      <c r="I138" s="188">
        <v>57817.82</v>
      </c>
      <c r="J138" s="119">
        <f aca="true" t="shared" si="24" ref="J138:J166">I138/H138</f>
        <v>0.5346076745261211</v>
      </c>
      <c r="K138" s="200"/>
      <c r="L138" s="193"/>
      <c r="M138" s="133"/>
      <c r="N138" s="200"/>
      <c r="O138" s="193"/>
      <c r="P138" s="28"/>
    </row>
    <row r="139" spans="1:16" ht="18.75">
      <c r="A139" s="7"/>
      <c r="B139" s="15"/>
      <c r="C139" s="15">
        <v>3240</v>
      </c>
      <c r="D139" s="9" t="s">
        <v>96</v>
      </c>
      <c r="E139" s="184">
        <v>2046</v>
      </c>
      <c r="F139" s="188">
        <v>0</v>
      </c>
      <c r="G139" s="95">
        <f t="shared" si="23"/>
        <v>0</v>
      </c>
      <c r="H139" s="184">
        <v>2046</v>
      </c>
      <c r="I139" s="188">
        <v>0</v>
      </c>
      <c r="J139" s="119">
        <f t="shared" si="24"/>
        <v>0</v>
      </c>
      <c r="K139" s="200"/>
      <c r="L139" s="193"/>
      <c r="M139" s="133"/>
      <c r="N139" s="200"/>
      <c r="O139" s="193"/>
      <c r="P139" s="28"/>
    </row>
    <row r="140" spans="1:16" ht="18.75">
      <c r="A140" s="7"/>
      <c r="B140" s="15"/>
      <c r="C140" s="15">
        <v>4010</v>
      </c>
      <c r="D140" s="9" t="s">
        <v>47</v>
      </c>
      <c r="E140" s="184">
        <v>1192400</v>
      </c>
      <c r="F140" s="188">
        <v>644144.63</v>
      </c>
      <c r="G140" s="95">
        <f t="shared" si="23"/>
        <v>0.5402085122442134</v>
      </c>
      <c r="H140" s="184">
        <v>1192400</v>
      </c>
      <c r="I140" s="188">
        <v>644144.63</v>
      </c>
      <c r="J140" s="119">
        <f t="shared" si="24"/>
        <v>0.5402085122442134</v>
      </c>
      <c r="K140" s="200"/>
      <c r="L140" s="193"/>
      <c r="M140" s="122"/>
      <c r="N140" s="200"/>
      <c r="O140" s="193"/>
      <c r="P140" s="28"/>
    </row>
    <row r="141" spans="1:16" ht="18.75">
      <c r="A141" s="7"/>
      <c r="B141" s="15"/>
      <c r="C141" s="15">
        <v>4040</v>
      </c>
      <c r="D141" s="9" t="s">
        <v>48</v>
      </c>
      <c r="E141" s="184">
        <v>96165</v>
      </c>
      <c r="F141" s="188">
        <v>92353.08</v>
      </c>
      <c r="G141" s="95">
        <f t="shared" si="23"/>
        <v>0.9603606301669007</v>
      </c>
      <c r="H141" s="184">
        <v>96165</v>
      </c>
      <c r="I141" s="188">
        <v>92353.08</v>
      </c>
      <c r="J141" s="119">
        <f t="shared" si="24"/>
        <v>0.9603606301669007</v>
      </c>
      <c r="K141" s="200"/>
      <c r="L141" s="193"/>
      <c r="M141" s="122"/>
      <c r="N141" s="200"/>
      <c r="O141" s="193"/>
      <c r="P141" s="28"/>
    </row>
    <row r="142" spans="1:16" ht="18.75">
      <c r="A142" s="7"/>
      <c r="B142" s="15"/>
      <c r="C142" s="15">
        <v>4110</v>
      </c>
      <c r="D142" s="9" t="s">
        <v>49</v>
      </c>
      <c r="E142" s="184">
        <v>313105</v>
      </c>
      <c r="F142" s="188">
        <v>189543.32</v>
      </c>
      <c r="G142" s="95">
        <f t="shared" si="23"/>
        <v>0.6053666341961962</v>
      </c>
      <c r="H142" s="184">
        <v>313105</v>
      </c>
      <c r="I142" s="188">
        <v>189543.32</v>
      </c>
      <c r="J142" s="119">
        <f t="shared" si="24"/>
        <v>0.6053666341961962</v>
      </c>
      <c r="K142" s="200"/>
      <c r="L142" s="193"/>
      <c r="M142" s="122"/>
      <c r="N142" s="200"/>
      <c r="O142" s="193"/>
      <c r="P142" s="28"/>
    </row>
    <row r="143" spans="1:16" ht="18.75">
      <c r="A143" s="7"/>
      <c r="B143" s="15"/>
      <c r="C143" s="15">
        <v>4120</v>
      </c>
      <c r="D143" s="9" t="s">
        <v>50</v>
      </c>
      <c r="E143" s="184">
        <v>44250</v>
      </c>
      <c r="F143" s="188">
        <v>25876.16</v>
      </c>
      <c r="G143" s="95">
        <f t="shared" si="23"/>
        <v>0.58477197740113</v>
      </c>
      <c r="H143" s="184">
        <v>44250</v>
      </c>
      <c r="I143" s="188">
        <v>25876.16</v>
      </c>
      <c r="J143" s="119">
        <f t="shared" si="24"/>
        <v>0.58477197740113</v>
      </c>
      <c r="K143" s="200"/>
      <c r="L143" s="193"/>
      <c r="M143" s="122"/>
      <c r="N143" s="200"/>
      <c r="O143" s="193"/>
      <c r="P143" s="28"/>
    </row>
    <row r="144" spans="1:16" ht="18.75">
      <c r="A144" s="7"/>
      <c r="B144" s="15"/>
      <c r="C144" s="15">
        <v>4140</v>
      </c>
      <c r="D144" s="9" t="s">
        <v>51</v>
      </c>
      <c r="E144" s="184">
        <v>7900</v>
      </c>
      <c r="F144" s="188">
        <v>4195.1</v>
      </c>
      <c r="G144" s="95">
        <f t="shared" si="23"/>
        <v>0.5310253164556963</v>
      </c>
      <c r="H144" s="184">
        <v>7900</v>
      </c>
      <c r="I144" s="188">
        <v>4195.1</v>
      </c>
      <c r="J144" s="119">
        <f t="shared" si="24"/>
        <v>0.5310253164556963</v>
      </c>
      <c r="K144" s="200"/>
      <c r="L144" s="193"/>
      <c r="M144" s="122"/>
      <c r="N144" s="200"/>
      <c r="O144" s="193"/>
      <c r="P144" s="28"/>
    </row>
    <row r="145" spans="1:16" ht="18.75">
      <c r="A145" s="7"/>
      <c r="B145" s="15"/>
      <c r="C145" s="15">
        <v>4170</v>
      </c>
      <c r="D145" s="9" t="s">
        <v>94</v>
      </c>
      <c r="E145" s="184">
        <v>9600</v>
      </c>
      <c r="F145" s="188">
        <v>7992.14</v>
      </c>
      <c r="G145" s="95">
        <f t="shared" si="23"/>
        <v>0.8325145833333334</v>
      </c>
      <c r="H145" s="184">
        <v>9600</v>
      </c>
      <c r="I145" s="188">
        <v>7992.14</v>
      </c>
      <c r="J145" s="119">
        <f t="shared" si="24"/>
        <v>0.8325145833333334</v>
      </c>
      <c r="K145" s="200"/>
      <c r="L145" s="193"/>
      <c r="M145" s="122"/>
      <c r="N145" s="200"/>
      <c r="O145" s="193"/>
      <c r="P145" s="28"/>
    </row>
    <row r="146" spans="1:16" ht="18.75">
      <c r="A146" s="15"/>
      <c r="B146" s="19"/>
      <c r="C146" s="15">
        <v>4210</v>
      </c>
      <c r="D146" s="9" t="s">
        <v>43</v>
      </c>
      <c r="E146" s="184">
        <v>56900</v>
      </c>
      <c r="F146" s="188">
        <v>45331.33</v>
      </c>
      <c r="G146" s="95">
        <f t="shared" si="23"/>
        <v>0.7966841827768014</v>
      </c>
      <c r="H146" s="184">
        <v>56900</v>
      </c>
      <c r="I146" s="188">
        <v>45331.33</v>
      </c>
      <c r="J146" s="119">
        <f t="shared" si="24"/>
        <v>0.7966841827768014</v>
      </c>
      <c r="K146" s="200"/>
      <c r="L146" s="193"/>
      <c r="M146" s="133"/>
      <c r="N146" s="200"/>
      <c r="O146" s="193"/>
      <c r="P146" s="28"/>
    </row>
    <row r="147" spans="1:16" ht="18.75">
      <c r="A147" s="7"/>
      <c r="B147" s="15"/>
      <c r="C147" s="15">
        <v>4240</v>
      </c>
      <c r="D147" s="9" t="s">
        <v>135</v>
      </c>
      <c r="E147" s="184">
        <v>8200</v>
      </c>
      <c r="F147" s="188">
        <v>3901.7</v>
      </c>
      <c r="G147" s="95">
        <f t="shared" si="23"/>
        <v>0.4758170731707317</v>
      </c>
      <c r="H147" s="184">
        <v>8200</v>
      </c>
      <c r="I147" s="188">
        <v>3901.7</v>
      </c>
      <c r="J147" s="119">
        <f t="shared" si="24"/>
        <v>0.4758170731707317</v>
      </c>
      <c r="K147" s="200"/>
      <c r="L147" s="193"/>
      <c r="M147" s="122"/>
      <c r="N147" s="200"/>
      <c r="O147" s="193"/>
      <c r="P147" s="28"/>
    </row>
    <row r="148" spans="1:16" ht="18.75">
      <c r="A148" s="7"/>
      <c r="B148" s="15"/>
      <c r="C148" s="15">
        <v>4260</v>
      </c>
      <c r="D148" s="9" t="s">
        <v>52</v>
      </c>
      <c r="E148" s="184">
        <v>207400</v>
      </c>
      <c r="F148" s="188">
        <v>116201.72</v>
      </c>
      <c r="G148" s="95">
        <f t="shared" si="23"/>
        <v>0.5602783027965285</v>
      </c>
      <c r="H148" s="184">
        <v>207400</v>
      </c>
      <c r="I148" s="188">
        <v>116201.72</v>
      </c>
      <c r="J148" s="119">
        <f t="shared" si="24"/>
        <v>0.5602783027965285</v>
      </c>
      <c r="K148" s="200"/>
      <c r="L148" s="193"/>
      <c r="M148" s="122"/>
      <c r="N148" s="200"/>
      <c r="O148" s="193"/>
      <c r="P148" s="28"/>
    </row>
    <row r="149" spans="1:16" ht="18.75">
      <c r="A149" s="7"/>
      <c r="B149" s="15"/>
      <c r="C149" s="15">
        <v>4270</v>
      </c>
      <c r="D149" s="9" t="s">
        <v>44</v>
      </c>
      <c r="E149" s="184">
        <v>16300</v>
      </c>
      <c r="F149" s="188">
        <v>779.03</v>
      </c>
      <c r="G149" s="95">
        <f t="shared" si="23"/>
        <v>0.04779325153374233</v>
      </c>
      <c r="H149" s="184">
        <v>16300</v>
      </c>
      <c r="I149" s="188">
        <v>779.03</v>
      </c>
      <c r="J149" s="119">
        <f t="shared" si="24"/>
        <v>0.04779325153374233</v>
      </c>
      <c r="K149" s="200"/>
      <c r="L149" s="193"/>
      <c r="M149" s="122"/>
      <c r="N149" s="200"/>
      <c r="O149" s="193"/>
      <c r="P149" s="28"/>
    </row>
    <row r="150" spans="1:16" ht="18.75">
      <c r="A150" s="15"/>
      <c r="B150" s="19"/>
      <c r="C150" s="15">
        <v>4300</v>
      </c>
      <c r="D150" s="9" t="s">
        <v>45</v>
      </c>
      <c r="E150" s="184">
        <v>37440</v>
      </c>
      <c r="F150" s="188">
        <v>16403.38</v>
      </c>
      <c r="G150" s="95">
        <f t="shared" si="23"/>
        <v>0.43812446581196585</v>
      </c>
      <c r="H150" s="184">
        <v>37440</v>
      </c>
      <c r="I150" s="188">
        <v>16403.38</v>
      </c>
      <c r="J150" s="119">
        <f t="shared" si="24"/>
        <v>0.43812446581196585</v>
      </c>
      <c r="K150" s="200"/>
      <c r="L150" s="193"/>
      <c r="M150" s="122"/>
      <c r="N150" s="200"/>
      <c r="O150" s="193"/>
      <c r="P150" s="28"/>
    </row>
    <row r="151" spans="1:16" ht="18.75">
      <c r="A151" s="15"/>
      <c r="B151" s="19"/>
      <c r="C151" s="15">
        <v>4350</v>
      </c>
      <c r="D151" s="9" t="s">
        <v>101</v>
      </c>
      <c r="E151" s="184">
        <v>3450</v>
      </c>
      <c r="F151" s="188">
        <v>1453.92</v>
      </c>
      <c r="G151" s="95">
        <f t="shared" si="23"/>
        <v>0.4214260869565218</v>
      </c>
      <c r="H151" s="184">
        <v>3450</v>
      </c>
      <c r="I151" s="188">
        <v>1453.92</v>
      </c>
      <c r="J151" s="119">
        <f t="shared" si="24"/>
        <v>0.4214260869565218</v>
      </c>
      <c r="K151" s="200"/>
      <c r="L151" s="193"/>
      <c r="M151" s="122"/>
      <c r="N151" s="200"/>
      <c r="O151" s="193"/>
      <c r="P151" s="28"/>
    </row>
    <row r="152" spans="1:16" ht="18.75">
      <c r="A152" s="7"/>
      <c r="B152" s="19"/>
      <c r="C152" s="15">
        <v>4410</v>
      </c>
      <c r="D152" s="9" t="s">
        <v>55</v>
      </c>
      <c r="E152" s="184">
        <v>2000</v>
      </c>
      <c r="F152" s="188">
        <v>807.84</v>
      </c>
      <c r="G152" s="95">
        <f t="shared" si="23"/>
        <v>0.40392</v>
      </c>
      <c r="H152" s="184">
        <v>2000</v>
      </c>
      <c r="I152" s="188">
        <v>807.84</v>
      </c>
      <c r="J152" s="119">
        <f t="shared" si="24"/>
        <v>0.40392</v>
      </c>
      <c r="K152" s="200"/>
      <c r="L152" s="193"/>
      <c r="M152" s="122"/>
      <c r="N152" s="200"/>
      <c r="O152" s="193"/>
      <c r="P152" s="28"/>
    </row>
    <row r="153" spans="1:16" ht="18.75">
      <c r="A153" s="7"/>
      <c r="B153" s="19"/>
      <c r="C153" s="15">
        <v>4430</v>
      </c>
      <c r="D153" s="9" t="s">
        <v>53</v>
      </c>
      <c r="E153" s="184">
        <v>1595</v>
      </c>
      <c r="F153" s="188">
        <v>0</v>
      </c>
      <c r="G153" s="95">
        <f>F153/E153</f>
        <v>0</v>
      </c>
      <c r="H153" s="184">
        <v>1595</v>
      </c>
      <c r="I153" s="188">
        <v>0</v>
      </c>
      <c r="J153" s="119">
        <f>I153/H153</f>
        <v>0</v>
      </c>
      <c r="K153" s="200"/>
      <c r="L153" s="193"/>
      <c r="M153" s="122"/>
      <c r="N153" s="200"/>
      <c r="O153" s="193"/>
      <c r="P153" s="28"/>
    </row>
    <row r="154" spans="1:16" ht="18.75">
      <c r="A154" s="7"/>
      <c r="B154" s="15"/>
      <c r="C154" s="15">
        <v>4440</v>
      </c>
      <c r="D154" s="9" t="s">
        <v>129</v>
      </c>
      <c r="E154" s="184">
        <v>92815</v>
      </c>
      <c r="F154" s="188">
        <v>24119.71</v>
      </c>
      <c r="G154" s="95">
        <f t="shared" si="23"/>
        <v>0.2598686634703442</v>
      </c>
      <c r="H154" s="184">
        <v>92815</v>
      </c>
      <c r="I154" s="188">
        <v>24119.71</v>
      </c>
      <c r="J154" s="119">
        <f t="shared" si="24"/>
        <v>0.2598686634703442</v>
      </c>
      <c r="K154" s="200"/>
      <c r="L154" s="193"/>
      <c r="M154" s="122"/>
      <c r="N154" s="200"/>
      <c r="O154" s="193"/>
      <c r="P154" s="28"/>
    </row>
    <row r="155" spans="1:16" ht="18.75">
      <c r="A155" s="7"/>
      <c r="B155" s="15"/>
      <c r="C155" s="15">
        <v>4580</v>
      </c>
      <c r="D155" s="9" t="s">
        <v>24</v>
      </c>
      <c r="E155" s="184">
        <v>22000</v>
      </c>
      <c r="F155" s="188">
        <v>18681.35</v>
      </c>
      <c r="G155" s="95">
        <f t="shared" si="23"/>
        <v>0.8491522727272727</v>
      </c>
      <c r="H155" s="184">
        <v>22000</v>
      </c>
      <c r="I155" s="188">
        <v>18681.35</v>
      </c>
      <c r="J155" s="119">
        <f t="shared" si="24"/>
        <v>0.8491522727272727</v>
      </c>
      <c r="K155" s="200"/>
      <c r="L155" s="193"/>
      <c r="M155" s="122"/>
      <c r="N155" s="200"/>
      <c r="O155" s="193"/>
      <c r="P155" s="28"/>
    </row>
    <row r="156" spans="1:16" ht="18.75">
      <c r="A156" s="7"/>
      <c r="B156" s="22">
        <v>80103</v>
      </c>
      <c r="C156" s="22"/>
      <c r="D156" s="22" t="s">
        <v>97</v>
      </c>
      <c r="E156" s="189">
        <f>SUM(E157:E166)</f>
        <v>187750</v>
      </c>
      <c r="F156" s="189">
        <f>SUM(F157:F166)</f>
        <v>93994.31999999999</v>
      </c>
      <c r="G156" s="94">
        <f>F156/E156</f>
        <v>0.5006355259653794</v>
      </c>
      <c r="H156" s="189">
        <f>SUM(H157:H166)</f>
        <v>187750</v>
      </c>
      <c r="I156" s="189">
        <f>SUM(I157:I166)</f>
        <v>93994.31999999999</v>
      </c>
      <c r="J156" s="79">
        <f>I156/H156</f>
        <v>0.5006355259653794</v>
      </c>
      <c r="K156" s="201"/>
      <c r="L156" s="196"/>
      <c r="M156" s="126"/>
      <c r="N156" s="201"/>
      <c r="O156" s="196"/>
      <c r="P156" s="127"/>
    </row>
    <row r="157" spans="1:16" ht="18.75">
      <c r="A157" s="7"/>
      <c r="B157" s="15"/>
      <c r="C157" s="15">
        <v>3020</v>
      </c>
      <c r="D157" s="9" t="s">
        <v>128</v>
      </c>
      <c r="E157" s="184">
        <v>10400</v>
      </c>
      <c r="F157" s="188">
        <v>5623.64</v>
      </c>
      <c r="G157" s="95">
        <f t="shared" si="23"/>
        <v>0.5407346153846154</v>
      </c>
      <c r="H157" s="184">
        <v>10400</v>
      </c>
      <c r="I157" s="188">
        <v>5623.64</v>
      </c>
      <c r="J157" s="119">
        <f t="shared" si="24"/>
        <v>0.5407346153846154</v>
      </c>
      <c r="K157" s="200"/>
      <c r="L157" s="193"/>
      <c r="M157" s="122"/>
      <c r="N157" s="200"/>
      <c r="O157" s="193"/>
      <c r="P157" s="28"/>
    </row>
    <row r="158" spans="1:16" ht="18.75">
      <c r="A158" s="7"/>
      <c r="B158" s="15"/>
      <c r="C158" s="15">
        <v>4010</v>
      </c>
      <c r="D158" s="9" t="s">
        <v>47</v>
      </c>
      <c r="E158" s="184">
        <v>100590</v>
      </c>
      <c r="F158" s="188">
        <v>52352.2</v>
      </c>
      <c r="G158" s="95">
        <f t="shared" si="23"/>
        <v>0.5204513371110449</v>
      </c>
      <c r="H158" s="184">
        <v>100590</v>
      </c>
      <c r="I158" s="188">
        <v>52352.2</v>
      </c>
      <c r="J158" s="119">
        <f t="shared" si="24"/>
        <v>0.5204513371110449</v>
      </c>
      <c r="K158" s="200"/>
      <c r="L158" s="193"/>
      <c r="M158" s="122"/>
      <c r="N158" s="200"/>
      <c r="O158" s="193"/>
      <c r="P158" s="28"/>
    </row>
    <row r="159" spans="1:16" ht="18.75">
      <c r="A159" s="7"/>
      <c r="B159" s="15"/>
      <c r="C159" s="15">
        <v>4040</v>
      </c>
      <c r="D159" s="9" t="s">
        <v>48</v>
      </c>
      <c r="E159" s="184">
        <v>9360</v>
      </c>
      <c r="F159" s="188">
        <v>8446.12</v>
      </c>
      <c r="G159" s="95">
        <f t="shared" si="23"/>
        <v>0.902363247863248</v>
      </c>
      <c r="H159" s="184">
        <v>9360</v>
      </c>
      <c r="I159" s="188">
        <v>8446.12</v>
      </c>
      <c r="J159" s="119">
        <f t="shared" si="24"/>
        <v>0.902363247863248</v>
      </c>
      <c r="K159" s="200"/>
      <c r="L159" s="193"/>
      <c r="M159" s="122"/>
      <c r="N159" s="200"/>
      <c r="O159" s="193"/>
      <c r="P159" s="28"/>
    </row>
    <row r="160" spans="1:16" ht="18.75">
      <c r="A160" s="7"/>
      <c r="B160" s="15"/>
      <c r="C160" s="15">
        <v>4110</v>
      </c>
      <c r="D160" s="9" t="s">
        <v>49</v>
      </c>
      <c r="E160" s="184">
        <v>27300</v>
      </c>
      <c r="F160" s="188">
        <v>14823.93</v>
      </c>
      <c r="G160" s="95">
        <f t="shared" si="23"/>
        <v>0.5430010989010989</v>
      </c>
      <c r="H160" s="184">
        <v>27300</v>
      </c>
      <c r="I160" s="188">
        <v>14823.93</v>
      </c>
      <c r="J160" s="119">
        <f t="shared" si="24"/>
        <v>0.5430010989010989</v>
      </c>
      <c r="K160" s="200"/>
      <c r="L160" s="193"/>
      <c r="M160" s="122"/>
      <c r="N160" s="200"/>
      <c r="O160" s="193"/>
      <c r="P160" s="28"/>
    </row>
    <row r="161" spans="1:16" ht="18.75">
      <c r="A161" s="7"/>
      <c r="B161" s="15"/>
      <c r="C161" s="15">
        <v>4120</v>
      </c>
      <c r="D161" s="9" t="s">
        <v>50</v>
      </c>
      <c r="E161" s="184">
        <v>4600</v>
      </c>
      <c r="F161" s="188">
        <v>2416.42</v>
      </c>
      <c r="G161" s="95">
        <f t="shared" si="23"/>
        <v>0.525308695652174</v>
      </c>
      <c r="H161" s="184">
        <v>4600</v>
      </c>
      <c r="I161" s="188">
        <v>2416.42</v>
      </c>
      <c r="J161" s="119">
        <f t="shared" si="24"/>
        <v>0.525308695652174</v>
      </c>
      <c r="K161" s="200"/>
      <c r="L161" s="193"/>
      <c r="M161" s="122"/>
      <c r="N161" s="200"/>
      <c r="O161" s="193"/>
      <c r="P161" s="28"/>
    </row>
    <row r="162" spans="1:16" ht="18.75">
      <c r="A162" s="7"/>
      <c r="B162" s="15"/>
      <c r="C162" s="15">
        <v>4240</v>
      </c>
      <c r="D162" s="9" t="s">
        <v>135</v>
      </c>
      <c r="E162" s="184">
        <v>900</v>
      </c>
      <c r="F162" s="188">
        <v>0</v>
      </c>
      <c r="G162" s="95">
        <f t="shared" si="23"/>
        <v>0</v>
      </c>
      <c r="H162" s="184">
        <v>900</v>
      </c>
      <c r="I162" s="188">
        <v>0</v>
      </c>
      <c r="J162" s="119">
        <f t="shared" si="24"/>
        <v>0</v>
      </c>
      <c r="K162" s="200"/>
      <c r="L162" s="193"/>
      <c r="M162" s="122"/>
      <c r="N162" s="200"/>
      <c r="O162" s="193"/>
      <c r="P162" s="28"/>
    </row>
    <row r="163" spans="1:16" ht="18.75">
      <c r="A163" s="7"/>
      <c r="B163" s="15"/>
      <c r="C163" s="15">
        <v>4260</v>
      </c>
      <c r="D163" s="9" t="s">
        <v>52</v>
      </c>
      <c r="E163" s="184">
        <v>27700</v>
      </c>
      <c r="F163" s="188">
        <v>10282.21</v>
      </c>
      <c r="G163" s="95">
        <f t="shared" si="23"/>
        <v>0.371198916967509</v>
      </c>
      <c r="H163" s="184">
        <v>27700</v>
      </c>
      <c r="I163" s="188">
        <v>10282.21</v>
      </c>
      <c r="J163" s="119">
        <f t="shared" si="24"/>
        <v>0.371198916967509</v>
      </c>
      <c r="K163" s="200"/>
      <c r="L163" s="193"/>
      <c r="M163" s="122"/>
      <c r="N163" s="200"/>
      <c r="O163" s="193"/>
      <c r="P163" s="28"/>
    </row>
    <row r="164" spans="1:16" ht="18.75">
      <c r="A164" s="7"/>
      <c r="B164" s="15"/>
      <c r="C164" s="15">
        <v>4300</v>
      </c>
      <c r="D164" s="9" t="s">
        <v>45</v>
      </c>
      <c r="E164" s="184">
        <v>800</v>
      </c>
      <c r="F164" s="188">
        <v>49.8</v>
      </c>
      <c r="G164" s="95">
        <f t="shared" si="23"/>
        <v>0.06225</v>
      </c>
      <c r="H164" s="184">
        <v>800</v>
      </c>
      <c r="I164" s="188">
        <v>49.8</v>
      </c>
      <c r="J164" s="119">
        <f t="shared" si="24"/>
        <v>0.06225</v>
      </c>
      <c r="K164" s="200"/>
      <c r="L164" s="193"/>
      <c r="M164" s="122"/>
      <c r="N164" s="200"/>
      <c r="O164" s="193"/>
      <c r="P164" s="28"/>
    </row>
    <row r="165" spans="1:16" ht="18.75">
      <c r="A165" s="7"/>
      <c r="B165" s="15"/>
      <c r="C165" s="15">
        <v>4410</v>
      </c>
      <c r="D165" s="9" t="s">
        <v>55</v>
      </c>
      <c r="E165" s="184">
        <v>100</v>
      </c>
      <c r="F165" s="188">
        <v>0</v>
      </c>
      <c r="G165" s="95">
        <f t="shared" si="23"/>
        <v>0</v>
      </c>
      <c r="H165" s="184">
        <v>100</v>
      </c>
      <c r="I165" s="188">
        <v>0</v>
      </c>
      <c r="J165" s="119">
        <f t="shared" si="24"/>
        <v>0</v>
      </c>
      <c r="K165" s="200"/>
      <c r="L165" s="193"/>
      <c r="M165" s="122"/>
      <c r="N165" s="200"/>
      <c r="O165" s="193"/>
      <c r="P165" s="28"/>
    </row>
    <row r="166" spans="1:16" ht="18.75">
      <c r="A166" s="7"/>
      <c r="B166" s="15"/>
      <c r="C166" s="15">
        <v>4440</v>
      </c>
      <c r="D166" s="9" t="s">
        <v>129</v>
      </c>
      <c r="E166" s="184">
        <v>6000</v>
      </c>
      <c r="F166" s="188">
        <v>0</v>
      </c>
      <c r="G166" s="95">
        <f t="shared" si="23"/>
        <v>0</v>
      </c>
      <c r="H166" s="184">
        <v>6000</v>
      </c>
      <c r="I166" s="188">
        <v>0</v>
      </c>
      <c r="J166" s="119">
        <f t="shared" si="24"/>
        <v>0</v>
      </c>
      <c r="K166" s="200"/>
      <c r="L166" s="193"/>
      <c r="M166" s="122"/>
      <c r="N166" s="200"/>
      <c r="O166" s="193"/>
      <c r="P166" s="28"/>
    </row>
    <row r="167" spans="1:16" ht="18.75">
      <c r="A167" s="7"/>
      <c r="B167" s="22">
        <v>80104</v>
      </c>
      <c r="C167" s="22"/>
      <c r="D167" s="22" t="s">
        <v>77</v>
      </c>
      <c r="E167" s="189">
        <f>SUM(E168:E179)</f>
        <v>105750</v>
      </c>
      <c r="F167" s="189">
        <f>SUM(F168:F179)</f>
        <v>55794.93</v>
      </c>
      <c r="G167" s="94">
        <f>F167/E167</f>
        <v>0.5276116312056738</v>
      </c>
      <c r="H167" s="189">
        <f>SUM(H168:H179)</f>
        <v>105750</v>
      </c>
      <c r="I167" s="189">
        <f>SUM(I168:I179)</f>
        <v>55794.93</v>
      </c>
      <c r="J167" s="79">
        <f>I167/H167</f>
        <v>0.5276116312056738</v>
      </c>
      <c r="K167" s="201"/>
      <c r="L167" s="196"/>
      <c r="M167" s="126"/>
      <c r="N167" s="201"/>
      <c r="O167" s="196"/>
      <c r="P167" s="127"/>
    </row>
    <row r="168" spans="1:16" ht="18.75">
      <c r="A168" s="7"/>
      <c r="B168" s="15"/>
      <c r="C168" s="15">
        <v>3020</v>
      </c>
      <c r="D168" s="9" t="s">
        <v>128</v>
      </c>
      <c r="E168" s="184">
        <v>6550</v>
      </c>
      <c r="F168" s="188">
        <v>3361.32</v>
      </c>
      <c r="G168" s="95">
        <f aca="true" t="shared" si="25" ref="G168:G178">F168/E168</f>
        <v>0.5131786259541985</v>
      </c>
      <c r="H168" s="184">
        <v>6550</v>
      </c>
      <c r="I168" s="188">
        <v>3361.32</v>
      </c>
      <c r="J168" s="119">
        <f aca="true" t="shared" si="26" ref="J168:J178">I168/H168</f>
        <v>0.5131786259541985</v>
      </c>
      <c r="K168" s="200"/>
      <c r="L168" s="193"/>
      <c r="M168" s="122"/>
      <c r="N168" s="200"/>
      <c r="O168" s="193"/>
      <c r="P168" s="28"/>
    </row>
    <row r="169" spans="1:16" ht="18.75">
      <c r="A169" s="7"/>
      <c r="B169" s="15"/>
      <c r="C169" s="15">
        <v>4010</v>
      </c>
      <c r="D169" s="9" t="s">
        <v>47</v>
      </c>
      <c r="E169" s="184">
        <v>55500</v>
      </c>
      <c r="F169" s="188">
        <v>29333.41</v>
      </c>
      <c r="G169" s="95">
        <f t="shared" si="25"/>
        <v>0.5285299099099099</v>
      </c>
      <c r="H169" s="184">
        <v>55500</v>
      </c>
      <c r="I169" s="188">
        <v>29333.41</v>
      </c>
      <c r="J169" s="119">
        <f t="shared" si="26"/>
        <v>0.5285299099099099</v>
      </c>
      <c r="K169" s="200"/>
      <c r="L169" s="193"/>
      <c r="M169" s="122"/>
      <c r="N169" s="200"/>
      <c r="O169" s="193"/>
      <c r="P169" s="28"/>
    </row>
    <row r="170" spans="1:16" ht="18.75">
      <c r="A170" s="7"/>
      <c r="B170" s="15"/>
      <c r="C170" s="15">
        <v>4040</v>
      </c>
      <c r="D170" s="9" t="s">
        <v>48</v>
      </c>
      <c r="E170" s="184">
        <v>3950</v>
      </c>
      <c r="F170" s="188">
        <v>3937.09</v>
      </c>
      <c r="G170" s="95">
        <f t="shared" si="25"/>
        <v>0.9967316455696202</v>
      </c>
      <c r="H170" s="184">
        <v>3950</v>
      </c>
      <c r="I170" s="188">
        <v>3937.09</v>
      </c>
      <c r="J170" s="119">
        <f t="shared" si="26"/>
        <v>0.9967316455696202</v>
      </c>
      <c r="K170" s="200"/>
      <c r="L170" s="193"/>
      <c r="M170" s="122"/>
      <c r="N170" s="200"/>
      <c r="O170" s="193"/>
      <c r="P170" s="28"/>
    </row>
    <row r="171" spans="1:16" ht="18.75">
      <c r="A171" s="7"/>
      <c r="B171" s="15"/>
      <c r="C171" s="15">
        <v>4110</v>
      </c>
      <c r="D171" s="9" t="s">
        <v>49</v>
      </c>
      <c r="E171" s="184">
        <v>14395</v>
      </c>
      <c r="F171" s="188">
        <v>8062.43</v>
      </c>
      <c r="G171" s="95">
        <f t="shared" si="25"/>
        <v>0.5600854463355331</v>
      </c>
      <c r="H171" s="184">
        <v>14395</v>
      </c>
      <c r="I171" s="188">
        <v>8062.43</v>
      </c>
      <c r="J171" s="119">
        <f t="shared" si="26"/>
        <v>0.5600854463355331</v>
      </c>
      <c r="K171" s="200"/>
      <c r="L171" s="193"/>
      <c r="M171" s="122"/>
      <c r="N171" s="200"/>
      <c r="O171" s="193"/>
      <c r="P171" s="28"/>
    </row>
    <row r="172" spans="1:16" ht="18.75">
      <c r="A172" s="7"/>
      <c r="B172" s="15"/>
      <c r="C172" s="15">
        <v>4120</v>
      </c>
      <c r="D172" s="9" t="s">
        <v>50</v>
      </c>
      <c r="E172" s="184">
        <v>2100</v>
      </c>
      <c r="F172" s="188">
        <v>1139.43</v>
      </c>
      <c r="G172" s="95">
        <f t="shared" si="25"/>
        <v>0.5425857142857143</v>
      </c>
      <c r="H172" s="184">
        <v>2100</v>
      </c>
      <c r="I172" s="188">
        <v>1139.43</v>
      </c>
      <c r="J172" s="119">
        <f t="shared" si="26"/>
        <v>0.5425857142857143</v>
      </c>
      <c r="K172" s="200"/>
      <c r="L172" s="193"/>
      <c r="M172" s="122"/>
      <c r="N172" s="200"/>
      <c r="O172" s="193"/>
      <c r="P172" s="28"/>
    </row>
    <row r="173" spans="1:16" ht="18.75">
      <c r="A173" s="7"/>
      <c r="B173" s="15"/>
      <c r="C173" s="15">
        <v>4210</v>
      </c>
      <c r="D173" s="9" t="s">
        <v>43</v>
      </c>
      <c r="E173" s="184">
        <v>500</v>
      </c>
      <c r="F173" s="188">
        <v>14</v>
      </c>
      <c r="G173" s="95">
        <f t="shared" si="25"/>
        <v>0.028</v>
      </c>
      <c r="H173" s="184">
        <v>500</v>
      </c>
      <c r="I173" s="188">
        <v>14</v>
      </c>
      <c r="J173" s="119">
        <f t="shared" si="26"/>
        <v>0.028</v>
      </c>
      <c r="K173" s="200"/>
      <c r="L173" s="193"/>
      <c r="M173" s="122"/>
      <c r="N173" s="200"/>
      <c r="O173" s="193"/>
      <c r="P173" s="28"/>
    </row>
    <row r="174" spans="1:16" ht="18.75">
      <c r="A174" s="7"/>
      <c r="B174" s="15"/>
      <c r="C174" s="15">
        <v>4240</v>
      </c>
      <c r="D174" s="9" t="s">
        <v>135</v>
      </c>
      <c r="E174" s="184">
        <v>500</v>
      </c>
      <c r="F174" s="188">
        <v>0</v>
      </c>
      <c r="G174" s="95">
        <f t="shared" si="25"/>
        <v>0</v>
      </c>
      <c r="H174" s="184">
        <v>500</v>
      </c>
      <c r="I174" s="188">
        <v>0</v>
      </c>
      <c r="J174" s="119">
        <f t="shared" si="26"/>
        <v>0</v>
      </c>
      <c r="K174" s="200"/>
      <c r="L174" s="193"/>
      <c r="M174" s="122"/>
      <c r="N174" s="200"/>
      <c r="O174" s="193"/>
      <c r="P174" s="28"/>
    </row>
    <row r="175" spans="1:16" ht="18.75">
      <c r="A175" s="7"/>
      <c r="B175" s="15"/>
      <c r="C175" s="15">
        <v>4260</v>
      </c>
      <c r="D175" s="9" t="s">
        <v>52</v>
      </c>
      <c r="E175" s="184">
        <v>16000</v>
      </c>
      <c r="F175" s="188">
        <v>9031.81</v>
      </c>
      <c r="G175" s="95">
        <f t="shared" si="25"/>
        <v>0.564488125</v>
      </c>
      <c r="H175" s="184">
        <v>16000</v>
      </c>
      <c r="I175" s="188">
        <v>9031.81</v>
      </c>
      <c r="J175" s="119">
        <f t="shared" si="26"/>
        <v>0.564488125</v>
      </c>
      <c r="K175" s="200"/>
      <c r="L175" s="193"/>
      <c r="M175" s="122"/>
      <c r="N175" s="200"/>
      <c r="O175" s="193"/>
      <c r="P175" s="28"/>
    </row>
    <row r="176" spans="1:16" ht="18.75">
      <c r="A176" s="7"/>
      <c r="B176" s="15"/>
      <c r="C176" s="15">
        <v>4300</v>
      </c>
      <c r="D176" s="9" t="s">
        <v>45</v>
      </c>
      <c r="E176" s="184">
        <v>1700</v>
      </c>
      <c r="F176" s="188">
        <v>915.44</v>
      </c>
      <c r="G176" s="95">
        <f t="shared" si="25"/>
        <v>0.5384941176470589</v>
      </c>
      <c r="H176" s="184">
        <v>1700</v>
      </c>
      <c r="I176" s="188">
        <v>915.44</v>
      </c>
      <c r="J176" s="119">
        <f t="shared" si="26"/>
        <v>0.5384941176470589</v>
      </c>
      <c r="K176" s="200"/>
      <c r="L176" s="193"/>
      <c r="M176" s="122"/>
      <c r="N176" s="200"/>
      <c r="O176" s="193"/>
      <c r="P176" s="28"/>
    </row>
    <row r="177" spans="1:16" ht="18.75">
      <c r="A177" s="7"/>
      <c r="B177" s="15"/>
      <c r="C177" s="15">
        <v>4430</v>
      </c>
      <c r="D177" s="9" t="s">
        <v>53</v>
      </c>
      <c r="E177" s="184">
        <v>55</v>
      </c>
      <c r="F177" s="188">
        <v>0</v>
      </c>
      <c r="G177" s="95">
        <f>F177/E177</f>
        <v>0</v>
      </c>
      <c r="H177" s="184">
        <v>55</v>
      </c>
      <c r="I177" s="188">
        <v>0</v>
      </c>
      <c r="J177" s="119">
        <f>I177/H177</f>
        <v>0</v>
      </c>
      <c r="K177" s="200"/>
      <c r="L177" s="193"/>
      <c r="M177" s="122"/>
      <c r="N177" s="200"/>
      <c r="O177" s="193"/>
      <c r="P177" s="28"/>
    </row>
    <row r="178" spans="1:16" ht="18.75">
      <c r="A178" s="7"/>
      <c r="B178" s="15"/>
      <c r="C178" s="15">
        <v>4440</v>
      </c>
      <c r="D178" s="9" t="s">
        <v>129</v>
      </c>
      <c r="E178" s="184">
        <v>4000</v>
      </c>
      <c r="F178" s="188">
        <v>0</v>
      </c>
      <c r="G178" s="95">
        <f t="shared" si="25"/>
        <v>0</v>
      </c>
      <c r="H178" s="184">
        <v>4000</v>
      </c>
      <c r="I178" s="188">
        <v>0</v>
      </c>
      <c r="J178" s="119">
        <f t="shared" si="26"/>
        <v>0</v>
      </c>
      <c r="K178" s="200"/>
      <c r="L178" s="193"/>
      <c r="M178" s="122"/>
      <c r="N178" s="200"/>
      <c r="O178" s="193"/>
      <c r="P178" s="28"/>
    </row>
    <row r="179" spans="1:16" ht="18.75">
      <c r="A179" s="7"/>
      <c r="B179" s="15"/>
      <c r="C179" s="15">
        <v>4580</v>
      </c>
      <c r="D179" s="9" t="s">
        <v>24</v>
      </c>
      <c r="E179" s="184">
        <v>500</v>
      </c>
      <c r="F179" s="188">
        <v>0</v>
      </c>
      <c r="G179" s="95">
        <f>F179/E179</f>
        <v>0</v>
      </c>
      <c r="H179" s="184">
        <v>500</v>
      </c>
      <c r="I179" s="188">
        <v>0</v>
      </c>
      <c r="J179" s="119">
        <f>I179/H179</f>
        <v>0</v>
      </c>
      <c r="K179" s="200"/>
      <c r="L179" s="193"/>
      <c r="M179" s="122"/>
      <c r="N179" s="200"/>
      <c r="O179" s="193"/>
      <c r="P179" s="28"/>
    </row>
    <row r="180" spans="1:16" ht="18.75">
      <c r="A180" s="7"/>
      <c r="B180" s="22">
        <v>80110</v>
      </c>
      <c r="C180" s="22"/>
      <c r="D180" s="22" t="s">
        <v>39</v>
      </c>
      <c r="E180" s="189">
        <f>SUM(E181:E197)</f>
        <v>1413240</v>
      </c>
      <c r="F180" s="189">
        <f>SUM(F181:F197)</f>
        <v>722792.6399999998</v>
      </c>
      <c r="G180" s="94">
        <f>F180/E180</f>
        <v>0.5114436613738642</v>
      </c>
      <c r="H180" s="189">
        <f>SUM(H181:H197)</f>
        <v>1413240</v>
      </c>
      <c r="I180" s="189">
        <f>SUM(I181:I197)</f>
        <v>722792.6399999998</v>
      </c>
      <c r="J180" s="79">
        <f>I180/H180</f>
        <v>0.5114436613738642</v>
      </c>
      <c r="K180" s="208"/>
      <c r="L180" s="189"/>
      <c r="M180" s="121"/>
      <c r="N180" s="208"/>
      <c r="O180" s="189"/>
      <c r="P180" s="23"/>
    </row>
    <row r="181" spans="1:16" ht="18.75">
      <c r="A181" s="15"/>
      <c r="B181" s="19"/>
      <c r="C181" s="15">
        <v>3020</v>
      </c>
      <c r="D181" s="9" t="s">
        <v>128</v>
      </c>
      <c r="E181" s="184">
        <v>70850</v>
      </c>
      <c r="F181" s="188">
        <v>37457.34</v>
      </c>
      <c r="G181" s="95">
        <f aca="true" t="shared" si="27" ref="G181:G196">F181/E181</f>
        <v>0.5286851093860268</v>
      </c>
      <c r="H181" s="184">
        <v>70850</v>
      </c>
      <c r="I181" s="188">
        <v>37457.34</v>
      </c>
      <c r="J181" s="119">
        <f aca="true" t="shared" si="28" ref="J181:J196">I181/H181</f>
        <v>0.5286851093860268</v>
      </c>
      <c r="K181" s="200"/>
      <c r="L181" s="193"/>
      <c r="M181" s="122"/>
      <c r="N181" s="200"/>
      <c r="O181" s="193"/>
      <c r="P181" s="28"/>
    </row>
    <row r="182" spans="1:16" ht="18.75">
      <c r="A182" s="15"/>
      <c r="B182" s="19"/>
      <c r="C182" s="15">
        <v>4010</v>
      </c>
      <c r="D182" s="9" t="s">
        <v>47</v>
      </c>
      <c r="E182" s="184">
        <v>743400</v>
      </c>
      <c r="F182" s="188">
        <v>383488.38</v>
      </c>
      <c r="G182" s="95">
        <f t="shared" si="27"/>
        <v>0.5158573849878935</v>
      </c>
      <c r="H182" s="184">
        <v>743400</v>
      </c>
      <c r="I182" s="188">
        <v>383488.38</v>
      </c>
      <c r="J182" s="119">
        <f t="shared" si="28"/>
        <v>0.5158573849878935</v>
      </c>
      <c r="K182" s="200"/>
      <c r="L182" s="193"/>
      <c r="M182" s="122"/>
      <c r="N182" s="200"/>
      <c r="O182" s="193"/>
      <c r="P182" s="28"/>
    </row>
    <row r="183" spans="1:16" ht="18.75">
      <c r="A183" s="15"/>
      <c r="B183" s="19"/>
      <c r="C183" s="15">
        <v>4040</v>
      </c>
      <c r="D183" s="9" t="s">
        <v>48</v>
      </c>
      <c r="E183" s="184">
        <v>53200</v>
      </c>
      <c r="F183" s="188">
        <v>51724.46</v>
      </c>
      <c r="G183" s="95">
        <f t="shared" si="27"/>
        <v>0.9722642857142857</v>
      </c>
      <c r="H183" s="184">
        <v>53200</v>
      </c>
      <c r="I183" s="188">
        <v>51724.46</v>
      </c>
      <c r="J183" s="119">
        <f t="shared" si="28"/>
        <v>0.9722642857142857</v>
      </c>
      <c r="K183" s="200"/>
      <c r="L183" s="193"/>
      <c r="M183" s="122"/>
      <c r="N183" s="200"/>
      <c r="O183" s="193"/>
      <c r="P183" s="28"/>
    </row>
    <row r="184" spans="1:16" ht="18.75">
      <c r="A184" s="15"/>
      <c r="B184" s="19"/>
      <c r="C184" s="15">
        <v>4110</v>
      </c>
      <c r="D184" s="9" t="s">
        <v>49</v>
      </c>
      <c r="E184" s="184">
        <v>182100</v>
      </c>
      <c r="F184" s="188">
        <v>90172.28</v>
      </c>
      <c r="G184" s="95">
        <f t="shared" si="27"/>
        <v>0.49518001098297637</v>
      </c>
      <c r="H184" s="184">
        <v>182100</v>
      </c>
      <c r="I184" s="188">
        <v>90172.28</v>
      </c>
      <c r="J184" s="119">
        <f t="shared" si="28"/>
        <v>0.49518001098297637</v>
      </c>
      <c r="K184" s="200"/>
      <c r="L184" s="193"/>
      <c r="M184" s="122"/>
      <c r="N184" s="200"/>
      <c r="O184" s="193"/>
      <c r="P184" s="28"/>
    </row>
    <row r="185" spans="1:16" ht="18.75">
      <c r="A185" s="15"/>
      <c r="B185" s="19"/>
      <c r="C185" s="15">
        <v>4120</v>
      </c>
      <c r="D185" s="9" t="s">
        <v>50</v>
      </c>
      <c r="E185" s="184">
        <v>26950</v>
      </c>
      <c r="F185" s="188">
        <v>14717.2</v>
      </c>
      <c r="G185" s="95">
        <f t="shared" si="27"/>
        <v>0.5460927643784786</v>
      </c>
      <c r="H185" s="184">
        <v>26950</v>
      </c>
      <c r="I185" s="188">
        <v>14717.2</v>
      </c>
      <c r="J185" s="119">
        <f t="shared" si="28"/>
        <v>0.5460927643784786</v>
      </c>
      <c r="K185" s="200"/>
      <c r="L185" s="193"/>
      <c r="M185" s="122"/>
      <c r="N185" s="200"/>
      <c r="O185" s="193"/>
      <c r="P185" s="28"/>
    </row>
    <row r="186" spans="1:16" ht="18.75">
      <c r="A186" s="7"/>
      <c r="B186" s="15"/>
      <c r="C186" s="15">
        <v>4140</v>
      </c>
      <c r="D186" s="9" t="s">
        <v>51</v>
      </c>
      <c r="E186" s="184">
        <v>7400</v>
      </c>
      <c r="F186" s="188">
        <v>4706.1</v>
      </c>
      <c r="G186" s="95">
        <f t="shared" si="27"/>
        <v>0.6359594594594595</v>
      </c>
      <c r="H186" s="184">
        <v>7400</v>
      </c>
      <c r="I186" s="188">
        <v>4706.1</v>
      </c>
      <c r="J186" s="119">
        <f t="shared" si="28"/>
        <v>0.6359594594594595</v>
      </c>
      <c r="K186" s="200"/>
      <c r="L186" s="193"/>
      <c r="M186" s="122"/>
      <c r="N186" s="200"/>
      <c r="O186" s="193"/>
      <c r="P186" s="28"/>
    </row>
    <row r="187" spans="1:16" ht="18.75">
      <c r="A187" s="7"/>
      <c r="B187" s="15"/>
      <c r="C187" s="15">
        <v>4170</v>
      </c>
      <c r="D187" s="9" t="s">
        <v>94</v>
      </c>
      <c r="E187" s="184">
        <v>300</v>
      </c>
      <c r="F187" s="188">
        <v>244.84</v>
      </c>
      <c r="G187" s="95">
        <f t="shared" si="27"/>
        <v>0.8161333333333334</v>
      </c>
      <c r="H187" s="184">
        <v>300</v>
      </c>
      <c r="I187" s="188">
        <v>244.84</v>
      </c>
      <c r="J187" s="119">
        <f t="shared" si="28"/>
        <v>0.8161333333333334</v>
      </c>
      <c r="K187" s="200"/>
      <c r="L187" s="193"/>
      <c r="M187" s="122"/>
      <c r="N187" s="200"/>
      <c r="O187" s="193"/>
      <c r="P187" s="28"/>
    </row>
    <row r="188" spans="1:16" ht="18.75">
      <c r="A188" s="15"/>
      <c r="B188" s="19"/>
      <c r="C188" s="15">
        <v>4210</v>
      </c>
      <c r="D188" s="9" t="s">
        <v>43</v>
      </c>
      <c r="E188" s="184">
        <v>24600</v>
      </c>
      <c r="F188" s="188">
        <v>19826.34</v>
      </c>
      <c r="G188" s="95">
        <f t="shared" si="27"/>
        <v>0.8059487804878049</v>
      </c>
      <c r="H188" s="184">
        <v>24600</v>
      </c>
      <c r="I188" s="188">
        <v>19826.34</v>
      </c>
      <c r="J188" s="119">
        <f t="shared" si="28"/>
        <v>0.8059487804878049</v>
      </c>
      <c r="K188" s="200"/>
      <c r="L188" s="193"/>
      <c r="M188" s="122"/>
      <c r="N188" s="200"/>
      <c r="O188" s="193"/>
      <c r="P188" s="28"/>
    </row>
    <row r="189" spans="1:16" ht="18.75">
      <c r="A189" s="15"/>
      <c r="B189" s="19"/>
      <c r="C189" s="15">
        <v>4240</v>
      </c>
      <c r="D189" s="9" t="s">
        <v>135</v>
      </c>
      <c r="E189" s="184">
        <v>3900</v>
      </c>
      <c r="F189" s="188">
        <v>1980.79</v>
      </c>
      <c r="G189" s="95">
        <f t="shared" si="27"/>
        <v>0.5078948717948718</v>
      </c>
      <c r="H189" s="184">
        <v>3900</v>
      </c>
      <c r="I189" s="188">
        <v>1980.79</v>
      </c>
      <c r="J189" s="119">
        <f t="shared" si="28"/>
        <v>0.5078948717948718</v>
      </c>
      <c r="K189" s="200"/>
      <c r="L189" s="193"/>
      <c r="M189" s="122"/>
      <c r="N189" s="200"/>
      <c r="O189" s="193"/>
      <c r="P189" s="28"/>
    </row>
    <row r="190" spans="1:16" ht="18.75">
      <c r="A190" s="15"/>
      <c r="B190" s="19"/>
      <c r="C190" s="15">
        <v>4260</v>
      </c>
      <c r="D190" s="9" t="s">
        <v>52</v>
      </c>
      <c r="E190" s="184">
        <v>197600</v>
      </c>
      <c r="F190" s="188">
        <v>94131.05</v>
      </c>
      <c r="G190" s="95">
        <f t="shared" si="27"/>
        <v>0.47637171052631583</v>
      </c>
      <c r="H190" s="184">
        <v>197600</v>
      </c>
      <c r="I190" s="188">
        <v>94131.05</v>
      </c>
      <c r="J190" s="119">
        <f t="shared" si="28"/>
        <v>0.47637171052631583</v>
      </c>
      <c r="K190" s="200"/>
      <c r="L190" s="193"/>
      <c r="M190" s="122"/>
      <c r="N190" s="200"/>
      <c r="O190" s="193"/>
      <c r="P190" s="28"/>
    </row>
    <row r="191" spans="1:16" ht="18.75">
      <c r="A191" s="15"/>
      <c r="B191" s="19"/>
      <c r="C191" s="15">
        <v>4270</v>
      </c>
      <c r="D191" s="9" t="s">
        <v>44</v>
      </c>
      <c r="E191" s="184">
        <v>8000</v>
      </c>
      <c r="F191" s="188">
        <v>601.84</v>
      </c>
      <c r="G191" s="95">
        <f t="shared" si="27"/>
        <v>0.07523</v>
      </c>
      <c r="H191" s="184">
        <v>8000</v>
      </c>
      <c r="I191" s="188">
        <v>601.84</v>
      </c>
      <c r="J191" s="119">
        <f t="shared" si="28"/>
        <v>0.07523</v>
      </c>
      <c r="K191" s="200"/>
      <c r="L191" s="193"/>
      <c r="M191" s="122"/>
      <c r="N191" s="200"/>
      <c r="O191" s="193"/>
      <c r="P191" s="28"/>
    </row>
    <row r="192" spans="1:16" ht="18.75">
      <c r="A192" s="15"/>
      <c r="B192" s="19"/>
      <c r="C192" s="15">
        <v>4300</v>
      </c>
      <c r="D192" s="9" t="s">
        <v>45</v>
      </c>
      <c r="E192" s="184">
        <v>12100</v>
      </c>
      <c r="F192" s="188">
        <v>5838.07</v>
      </c>
      <c r="G192" s="95">
        <f t="shared" si="27"/>
        <v>0.4824851239669421</v>
      </c>
      <c r="H192" s="184">
        <v>12100</v>
      </c>
      <c r="I192" s="188">
        <v>5838.07</v>
      </c>
      <c r="J192" s="119">
        <f t="shared" si="28"/>
        <v>0.4824851239669421</v>
      </c>
      <c r="K192" s="200"/>
      <c r="L192" s="193"/>
      <c r="M192" s="122"/>
      <c r="N192" s="200"/>
      <c r="O192" s="193"/>
      <c r="P192" s="28"/>
    </row>
    <row r="193" spans="1:16" ht="18.75">
      <c r="A193" s="15"/>
      <c r="B193" s="19"/>
      <c r="C193" s="15">
        <v>4350</v>
      </c>
      <c r="D193" s="9" t="s">
        <v>101</v>
      </c>
      <c r="E193" s="184">
        <v>1150</v>
      </c>
      <c r="F193" s="188">
        <v>988.83</v>
      </c>
      <c r="G193" s="95">
        <f t="shared" si="27"/>
        <v>0.8598521739130435</v>
      </c>
      <c r="H193" s="184">
        <v>1150</v>
      </c>
      <c r="I193" s="188">
        <v>988.83</v>
      </c>
      <c r="J193" s="119">
        <f t="shared" si="28"/>
        <v>0.8598521739130435</v>
      </c>
      <c r="K193" s="200"/>
      <c r="L193" s="193"/>
      <c r="M193" s="122"/>
      <c r="N193" s="200"/>
      <c r="O193" s="193"/>
      <c r="P193" s="28"/>
    </row>
    <row r="194" spans="1:16" ht="18.75">
      <c r="A194" s="15"/>
      <c r="B194" s="19"/>
      <c r="C194" s="15">
        <v>4410</v>
      </c>
      <c r="D194" s="9" t="s">
        <v>55</v>
      </c>
      <c r="E194" s="184">
        <v>3000</v>
      </c>
      <c r="F194" s="188">
        <v>1821.66</v>
      </c>
      <c r="G194" s="95">
        <f t="shared" si="27"/>
        <v>0.60722</v>
      </c>
      <c r="H194" s="184">
        <v>3000</v>
      </c>
      <c r="I194" s="188">
        <v>1821.66</v>
      </c>
      <c r="J194" s="119">
        <f t="shared" si="28"/>
        <v>0.60722</v>
      </c>
      <c r="K194" s="200"/>
      <c r="L194" s="193"/>
      <c r="M194" s="122"/>
      <c r="N194" s="200"/>
      <c r="O194" s="193"/>
      <c r="P194" s="28"/>
    </row>
    <row r="195" spans="1:16" ht="18.75">
      <c r="A195" s="15"/>
      <c r="B195" s="19"/>
      <c r="C195" s="15">
        <v>4430</v>
      </c>
      <c r="D195" s="9" t="s">
        <v>53</v>
      </c>
      <c r="E195" s="184">
        <v>1620</v>
      </c>
      <c r="F195" s="188">
        <v>0</v>
      </c>
      <c r="G195" s="95">
        <f>F195/E195</f>
        <v>0</v>
      </c>
      <c r="H195" s="184">
        <v>1620</v>
      </c>
      <c r="I195" s="188">
        <v>0</v>
      </c>
      <c r="J195" s="119">
        <f>I195/H195</f>
        <v>0</v>
      </c>
      <c r="K195" s="200"/>
      <c r="L195" s="193"/>
      <c r="M195" s="122"/>
      <c r="N195" s="200"/>
      <c r="O195" s="193"/>
      <c r="P195" s="28"/>
    </row>
    <row r="196" spans="1:16" ht="18.75">
      <c r="A196" s="15"/>
      <c r="B196" s="19"/>
      <c r="C196" s="15">
        <v>4440</v>
      </c>
      <c r="D196" s="9" t="s">
        <v>129</v>
      </c>
      <c r="E196" s="184">
        <v>66570</v>
      </c>
      <c r="F196" s="188">
        <v>6670</v>
      </c>
      <c r="G196" s="95">
        <f t="shared" si="27"/>
        <v>0.10019528316058285</v>
      </c>
      <c r="H196" s="184">
        <v>66570</v>
      </c>
      <c r="I196" s="188">
        <v>6670</v>
      </c>
      <c r="J196" s="119">
        <f t="shared" si="28"/>
        <v>0.10019528316058285</v>
      </c>
      <c r="K196" s="200"/>
      <c r="L196" s="193"/>
      <c r="M196" s="122"/>
      <c r="N196" s="200"/>
      <c r="O196" s="193"/>
      <c r="P196" s="28"/>
    </row>
    <row r="197" spans="1:16" ht="18.75">
      <c r="A197" s="15"/>
      <c r="B197" s="19"/>
      <c r="C197" s="15">
        <v>4580</v>
      </c>
      <c r="D197" s="9" t="s">
        <v>24</v>
      </c>
      <c r="E197" s="184">
        <v>10500</v>
      </c>
      <c r="F197" s="188">
        <v>8423.46</v>
      </c>
      <c r="G197" s="95">
        <f>F197/E197</f>
        <v>0.8022342857142857</v>
      </c>
      <c r="H197" s="184">
        <v>10500</v>
      </c>
      <c r="I197" s="188">
        <v>8423.46</v>
      </c>
      <c r="J197" s="119">
        <f>I197/H197</f>
        <v>0.8022342857142857</v>
      </c>
      <c r="K197" s="200"/>
      <c r="L197" s="193"/>
      <c r="M197" s="122"/>
      <c r="N197" s="200"/>
      <c r="O197" s="193"/>
      <c r="P197" s="28"/>
    </row>
    <row r="198" spans="1:16" ht="18.75">
      <c r="A198" s="15"/>
      <c r="B198" s="22">
        <v>80113</v>
      </c>
      <c r="C198" s="22"/>
      <c r="D198" s="22" t="s">
        <v>63</v>
      </c>
      <c r="E198" s="189">
        <f>SUM(E199:E202)</f>
        <v>200000</v>
      </c>
      <c r="F198" s="189">
        <f>SUM(F199:F202)</f>
        <v>128075.67</v>
      </c>
      <c r="G198" s="94">
        <f aca="true" t="shared" si="29" ref="G198:G204">F198/E198</f>
        <v>0.64037835</v>
      </c>
      <c r="H198" s="189">
        <f>SUM(H199:H202)</f>
        <v>200000</v>
      </c>
      <c r="I198" s="189">
        <f>SUM(I199:I202)</f>
        <v>128075.67</v>
      </c>
      <c r="J198" s="79">
        <f aca="true" t="shared" si="30" ref="J198:J204">I198/H198</f>
        <v>0.64037835</v>
      </c>
      <c r="K198" s="201"/>
      <c r="L198" s="196"/>
      <c r="M198" s="126"/>
      <c r="N198" s="201"/>
      <c r="O198" s="196"/>
      <c r="P198" s="127"/>
    </row>
    <row r="199" spans="1:16" ht="18.75">
      <c r="A199" s="15"/>
      <c r="B199" s="19"/>
      <c r="C199" s="15">
        <v>4110</v>
      </c>
      <c r="D199" s="9" t="s">
        <v>49</v>
      </c>
      <c r="E199" s="184">
        <v>130</v>
      </c>
      <c r="F199" s="188">
        <v>0</v>
      </c>
      <c r="G199" s="95">
        <f t="shared" si="29"/>
        <v>0</v>
      </c>
      <c r="H199" s="184">
        <v>130</v>
      </c>
      <c r="I199" s="188">
        <v>0</v>
      </c>
      <c r="J199" s="119">
        <f t="shared" si="30"/>
        <v>0</v>
      </c>
      <c r="K199" s="200"/>
      <c r="L199" s="193"/>
      <c r="M199" s="122"/>
      <c r="N199" s="200"/>
      <c r="O199" s="193"/>
      <c r="P199" s="28"/>
    </row>
    <row r="200" spans="1:16" ht="18.75">
      <c r="A200" s="15"/>
      <c r="B200" s="19"/>
      <c r="C200" s="15">
        <v>4120</v>
      </c>
      <c r="D200" s="9" t="s">
        <v>50</v>
      </c>
      <c r="E200" s="184">
        <v>20</v>
      </c>
      <c r="F200" s="188">
        <v>0</v>
      </c>
      <c r="G200" s="95">
        <f>F200/E200</f>
        <v>0</v>
      </c>
      <c r="H200" s="184">
        <v>20</v>
      </c>
      <c r="I200" s="188">
        <v>0</v>
      </c>
      <c r="J200" s="119">
        <f>I200/H200</f>
        <v>0</v>
      </c>
      <c r="K200" s="200"/>
      <c r="L200" s="193"/>
      <c r="M200" s="122"/>
      <c r="N200" s="200"/>
      <c r="O200" s="193"/>
      <c r="P200" s="28"/>
    </row>
    <row r="201" spans="1:16" ht="18.75">
      <c r="A201" s="15"/>
      <c r="B201" s="19"/>
      <c r="C201" s="15">
        <v>4170</v>
      </c>
      <c r="D201" s="9" t="s">
        <v>94</v>
      </c>
      <c r="E201" s="184">
        <v>9600</v>
      </c>
      <c r="F201" s="188">
        <v>3259.72</v>
      </c>
      <c r="G201" s="95">
        <f t="shared" si="29"/>
        <v>0.33955416666666666</v>
      </c>
      <c r="H201" s="184">
        <v>9600</v>
      </c>
      <c r="I201" s="188">
        <v>3259.72</v>
      </c>
      <c r="J201" s="119">
        <f t="shared" si="30"/>
        <v>0.33955416666666666</v>
      </c>
      <c r="K201" s="200"/>
      <c r="L201" s="193"/>
      <c r="M201" s="122"/>
      <c r="N201" s="200"/>
      <c r="O201" s="193"/>
      <c r="P201" s="28"/>
    </row>
    <row r="202" spans="1:16" ht="18.75">
      <c r="A202" s="15"/>
      <c r="B202" s="15"/>
      <c r="C202" s="15">
        <v>4300</v>
      </c>
      <c r="D202" s="9" t="s">
        <v>45</v>
      </c>
      <c r="E202" s="184">
        <v>190250</v>
      </c>
      <c r="F202" s="188">
        <v>124815.95</v>
      </c>
      <c r="G202" s="95">
        <f t="shared" si="29"/>
        <v>0.6560628120893561</v>
      </c>
      <c r="H202" s="184">
        <v>190250</v>
      </c>
      <c r="I202" s="188">
        <v>124815.95</v>
      </c>
      <c r="J202" s="119">
        <f t="shared" si="30"/>
        <v>0.6560628120893561</v>
      </c>
      <c r="K202" s="200"/>
      <c r="L202" s="193"/>
      <c r="M202" s="122"/>
      <c r="N202" s="200"/>
      <c r="O202" s="193"/>
      <c r="P202" s="28"/>
    </row>
    <row r="203" spans="1:16" ht="18.75">
      <c r="A203" s="15"/>
      <c r="B203" s="22">
        <v>80114</v>
      </c>
      <c r="C203" s="22"/>
      <c r="D203" s="22" t="s">
        <v>136</v>
      </c>
      <c r="E203" s="189">
        <f>SUM(E204:E219)</f>
        <v>773710</v>
      </c>
      <c r="F203" s="189">
        <f>SUM(F204:F219)</f>
        <v>455991.35</v>
      </c>
      <c r="G203" s="94">
        <f t="shared" si="29"/>
        <v>0.5893569295989453</v>
      </c>
      <c r="H203" s="189">
        <f>SUM(H204:H219)</f>
        <v>773710</v>
      </c>
      <c r="I203" s="189">
        <f>SUM(I204:I219)</f>
        <v>455991.35</v>
      </c>
      <c r="J203" s="79">
        <f t="shared" si="30"/>
        <v>0.5893569295989453</v>
      </c>
      <c r="K203" s="201"/>
      <c r="L203" s="196"/>
      <c r="M203" s="126"/>
      <c r="N203" s="201"/>
      <c r="O203" s="196"/>
      <c r="P203" s="127"/>
    </row>
    <row r="204" spans="1:16" ht="18.75">
      <c r="A204" s="15"/>
      <c r="B204" s="19"/>
      <c r="C204" s="15">
        <v>3020</v>
      </c>
      <c r="D204" s="9" t="s">
        <v>128</v>
      </c>
      <c r="E204" s="184">
        <v>5700</v>
      </c>
      <c r="F204" s="188">
        <v>3266.3</v>
      </c>
      <c r="G204" s="95">
        <f t="shared" si="29"/>
        <v>0.5730350877192982</v>
      </c>
      <c r="H204" s="184">
        <v>5700</v>
      </c>
      <c r="I204" s="188">
        <v>3266.3</v>
      </c>
      <c r="J204" s="119">
        <f t="shared" si="30"/>
        <v>0.5730350877192982</v>
      </c>
      <c r="K204" s="200"/>
      <c r="L204" s="193"/>
      <c r="M204" s="122"/>
      <c r="N204" s="200"/>
      <c r="O204" s="193"/>
      <c r="P204" s="28"/>
    </row>
    <row r="205" spans="1:16" ht="18.75">
      <c r="A205" s="15"/>
      <c r="B205" s="19"/>
      <c r="C205" s="15">
        <v>4010</v>
      </c>
      <c r="D205" s="9" t="s">
        <v>47</v>
      </c>
      <c r="E205" s="184">
        <v>486400</v>
      </c>
      <c r="F205" s="188">
        <v>273104.69</v>
      </c>
      <c r="G205" s="95">
        <f aca="true" t="shared" si="31" ref="G205:G211">F205/E205</f>
        <v>0.5614816817434211</v>
      </c>
      <c r="H205" s="184">
        <v>486400</v>
      </c>
      <c r="I205" s="188">
        <v>273104.69</v>
      </c>
      <c r="J205" s="119">
        <f aca="true" t="shared" si="32" ref="J205:J211">I205/H205</f>
        <v>0.5614816817434211</v>
      </c>
      <c r="K205" s="200"/>
      <c r="L205" s="193"/>
      <c r="M205" s="122"/>
      <c r="N205" s="200"/>
      <c r="O205" s="193"/>
      <c r="P205" s="28"/>
    </row>
    <row r="206" spans="1:16" ht="18.75">
      <c r="A206" s="15"/>
      <c r="B206" s="19"/>
      <c r="C206" s="15">
        <v>4040</v>
      </c>
      <c r="D206" s="9" t="s">
        <v>48</v>
      </c>
      <c r="E206" s="184">
        <v>38800</v>
      </c>
      <c r="F206" s="188">
        <v>38635.98</v>
      </c>
      <c r="G206" s="95">
        <f t="shared" si="31"/>
        <v>0.9957726804123712</v>
      </c>
      <c r="H206" s="184">
        <v>38800</v>
      </c>
      <c r="I206" s="188">
        <v>38635.98</v>
      </c>
      <c r="J206" s="119">
        <f t="shared" si="32"/>
        <v>0.9957726804123712</v>
      </c>
      <c r="K206" s="200"/>
      <c r="L206" s="193"/>
      <c r="M206" s="122"/>
      <c r="N206" s="200"/>
      <c r="O206" s="193"/>
      <c r="P206" s="28"/>
    </row>
    <row r="207" spans="1:16" ht="18.75">
      <c r="A207" s="15"/>
      <c r="B207" s="19"/>
      <c r="C207" s="15">
        <v>4110</v>
      </c>
      <c r="D207" s="9" t="s">
        <v>49</v>
      </c>
      <c r="E207" s="184">
        <v>117450</v>
      </c>
      <c r="F207" s="188">
        <v>67350.51</v>
      </c>
      <c r="G207" s="95">
        <f t="shared" si="31"/>
        <v>0.573439846743295</v>
      </c>
      <c r="H207" s="184">
        <v>117450</v>
      </c>
      <c r="I207" s="188">
        <v>67350.51</v>
      </c>
      <c r="J207" s="119">
        <f t="shared" si="32"/>
        <v>0.573439846743295</v>
      </c>
      <c r="K207" s="200"/>
      <c r="L207" s="193"/>
      <c r="M207" s="122"/>
      <c r="N207" s="200"/>
      <c r="O207" s="193"/>
      <c r="P207" s="28"/>
    </row>
    <row r="208" spans="1:16" ht="18.75">
      <c r="A208" s="15"/>
      <c r="B208" s="19"/>
      <c r="C208" s="15">
        <v>4120</v>
      </c>
      <c r="D208" s="9" t="s">
        <v>50</v>
      </c>
      <c r="E208" s="184">
        <v>16700</v>
      </c>
      <c r="F208" s="188">
        <v>9917.1</v>
      </c>
      <c r="G208" s="95">
        <f t="shared" si="31"/>
        <v>0.5938383233532935</v>
      </c>
      <c r="H208" s="184">
        <v>16700</v>
      </c>
      <c r="I208" s="188">
        <v>9917.1</v>
      </c>
      <c r="J208" s="119">
        <f t="shared" si="32"/>
        <v>0.5938383233532935</v>
      </c>
      <c r="K208" s="200"/>
      <c r="L208" s="193"/>
      <c r="M208" s="122"/>
      <c r="N208" s="200"/>
      <c r="O208" s="193"/>
      <c r="P208" s="28"/>
    </row>
    <row r="209" spans="1:16" ht="18.75">
      <c r="A209" s="7"/>
      <c r="B209" s="15"/>
      <c r="C209" s="15">
        <v>4140</v>
      </c>
      <c r="D209" s="9" t="s">
        <v>51</v>
      </c>
      <c r="E209" s="184">
        <v>9200</v>
      </c>
      <c r="F209" s="188">
        <v>6080.9</v>
      </c>
      <c r="G209" s="95">
        <f t="shared" si="31"/>
        <v>0.6609673913043478</v>
      </c>
      <c r="H209" s="184">
        <v>9200</v>
      </c>
      <c r="I209" s="188">
        <v>6080.9</v>
      </c>
      <c r="J209" s="119">
        <f t="shared" si="32"/>
        <v>0.6609673913043478</v>
      </c>
      <c r="K209" s="200"/>
      <c r="L209" s="193"/>
      <c r="M209" s="122"/>
      <c r="N209" s="200"/>
      <c r="O209" s="193"/>
      <c r="P209" s="28"/>
    </row>
    <row r="210" spans="1:16" ht="18.75">
      <c r="A210" s="7"/>
      <c r="B210" s="15"/>
      <c r="C210" s="15">
        <v>4170</v>
      </c>
      <c r="D210" s="9" t="s">
        <v>94</v>
      </c>
      <c r="E210" s="184">
        <v>7000</v>
      </c>
      <c r="F210" s="188">
        <v>5970.97</v>
      </c>
      <c r="G210" s="95">
        <f>F210/E210</f>
        <v>0.8529957142857143</v>
      </c>
      <c r="H210" s="184">
        <v>7000</v>
      </c>
      <c r="I210" s="188">
        <v>5970.97</v>
      </c>
      <c r="J210" s="119">
        <f>I210/H210</f>
        <v>0.8529957142857143</v>
      </c>
      <c r="K210" s="200"/>
      <c r="L210" s="193"/>
      <c r="M210" s="122"/>
      <c r="N210" s="200"/>
      <c r="O210" s="193"/>
      <c r="P210" s="28"/>
    </row>
    <row r="211" spans="1:16" ht="18.75">
      <c r="A211" s="15"/>
      <c r="B211" s="19"/>
      <c r="C211" s="15">
        <v>4210</v>
      </c>
      <c r="D211" s="9" t="s">
        <v>43</v>
      </c>
      <c r="E211" s="184">
        <v>38765</v>
      </c>
      <c r="F211" s="188">
        <v>25581.46</v>
      </c>
      <c r="G211" s="95">
        <f t="shared" si="31"/>
        <v>0.6599112601573585</v>
      </c>
      <c r="H211" s="184">
        <v>38765</v>
      </c>
      <c r="I211" s="188">
        <v>25581.46</v>
      </c>
      <c r="J211" s="119">
        <f t="shared" si="32"/>
        <v>0.6599112601573585</v>
      </c>
      <c r="K211" s="200"/>
      <c r="L211" s="193"/>
      <c r="M211" s="122"/>
      <c r="N211" s="200"/>
      <c r="O211" s="193"/>
      <c r="P211" s="28"/>
    </row>
    <row r="212" spans="1:16" ht="18.75">
      <c r="A212" s="15"/>
      <c r="B212" s="19"/>
      <c r="C212" s="15">
        <v>4260</v>
      </c>
      <c r="D212" s="9" t="s">
        <v>52</v>
      </c>
      <c r="E212" s="184">
        <v>7700</v>
      </c>
      <c r="F212" s="188">
        <v>4917.73</v>
      </c>
      <c r="G212" s="95">
        <f aca="true" t="shared" si="33" ref="G212:G219">F212/E212</f>
        <v>0.6386662337662337</v>
      </c>
      <c r="H212" s="184">
        <v>7700</v>
      </c>
      <c r="I212" s="188">
        <v>4917.73</v>
      </c>
      <c r="J212" s="119">
        <f aca="true" t="shared" si="34" ref="J212:J219">I212/H212</f>
        <v>0.6386662337662337</v>
      </c>
      <c r="K212" s="200"/>
      <c r="L212" s="193"/>
      <c r="M212" s="122"/>
      <c r="N212" s="200"/>
      <c r="O212" s="193"/>
      <c r="P212" s="28"/>
    </row>
    <row r="213" spans="1:16" ht="18.75">
      <c r="A213" s="15"/>
      <c r="B213" s="19"/>
      <c r="C213" s="15">
        <v>4270</v>
      </c>
      <c r="D213" s="9" t="s">
        <v>44</v>
      </c>
      <c r="E213" s="184">
        <v>500</v>
      </c>
      <c r="F213" s="188">
        <v>150</v>
      </c>
      <c r="G213" s="95">
        <f t="shared" si="33"/>
        <v>0.3</v>
      </c>
      <c r="H213" s="184">
        <v>500</v>
      </c>
      <c r="I213" s="188">
        <v>150</v>
      </c>
      <c r="J213" s="119">
        <f t="shared" si="34"/>
        <v>0.3</v>
      </c>
      <c r="K213" s="200"/>
      <c r="L213" s="193"/>
      <c r="M213" s="122"/>
      <c r="N213" s="200"/>
      <c r="O213" s="193"/>
      <c r="P213" s="28"/>
    </row>
    <row r="214" spans="1:16" ht="18.75">
      <c r="A214" s="15"/>
      <c r="B214" s="19"/>
      <c r="C214" s="15">
        <v>4300</v>
      </c>
      <c r="D214" s="9" t="s">
        <v>45</v>
      </c>
      <c r="E214" s="184">
        <v>11700</v>
      </c>
      <c r="F214" s="188">
        <v>6374.65</v>
      </c>
      <c r="G214" s="95">
        <f t="shared" si="33"/>
        <v>0.5448418803418803</v>
      </c>
      <c r="H214" s="184">
        <v>11700</v>
      </c>
      <c r="I214" s="188">
        <v>6374.65</v>
      </c>
      <c r="J214" s="119">
        <f t="shared" si="34"/>
        <v>0.5448418803418803</v>
      </c>
      <c r="K214" s="200"/>
      <c r="L214" s="193"/>
      <c r="M214" s="122"/>
      <c r="N214" s="200"/>
      <c r="O214" s="193"/>
      <c r="P214" s="28"/>
    </row>
    <row r="215" spans="1:16" ht="18.75">
      <c r="A215" s="15"/>
      <c r="B215" s="19"/>
      <c r="C215" s="15">
        <v>4350</v>
      </c>
      <c r="D215" s="9" t="s">
        <v>101</v>
      </c>
      <c r="E215" s="184">
        <v>1400</v>
      </c>
      <c r="F215" s="188">
        <v>745.68</v>
      </c>
      <c r="G215" s="95">
        <f t="shared" si="33"/>
        <v>0.5326285714285713</v>
      </c>
      <c r="H215" s="184">
        <v>1400</v>
      </c>
      <c r="I215" s="188">
        <v>745.68</v>
      </c>
      <c r="J215" s="119">
        <f t="shared" si="34"/>
        <v>0.5326285714285713</v>
      </c>
      <c r="K215" s="200"/>
      <c r="L215" s="193"/>
      <c r="M215" s="122"/>
      <c r="N215" s="200"/>
      <c r="O215" s="193"/>
      <c r="P215" s="28"/>
    </row>
    <row r="216" spans="1:16" ht="18.75">
      <c r="A216" s="15"/>
      <c r="B216" s="19"/>
      <c r="C216" s="15">
        <v>4410</v>
      </c>
      <c r="D216" s="9" t="s">
        <v>55</v>
      </c>
      <c r="E216" s="184">
        <v>1800</v>
      </c>
      <c r="F216" s="188">
        <v>991.56</v>
      </c>
      <c r="G216" s="95">
        <f t="shared" si="33"/>
        <v>0.5508666666666666</v>
      </c>
      <c r="H216" s="184">
        <v>1800</v>
      </c>
      <c r="I216" s="188">
        <v>991.56</v>
      </c>
      <c r="J216" s="119">
        <f t="shared" si="34"/>
        <v>0.5508666666666666</v>
      </c>
      <c r="K216" s="200"/>
      <c r="L216" s="193"/>
      <c r="M216" s="122"/>
      <c r="N216" s="200"/>
      <c r="O216" s="193"/>
      <c r="P216" s="28"/>
    </row>
    <row r="217" spans="1:16" ht="18.75">
      <c r="A217" s="15"/>
      <c r="B217" s="19"/>
      <c r="C217" s="15">
        <v>4430</v>
      </c>
      <c r="D217" s="9" t="s">
        <v>53</v>
      </c>
      <c r="E217" s="184">
        <v>245</v>
      </c>
      <c r="F217" s="188">
        <v>0</v>
      </c>
      <c r="G217" s="95">
        <f>F217/E217</f>
        <v>0</v>
      </c>
      <c r="H217" s="184">
        <v>245</v>
      </c>
      <c r="I217" s="188">
        <v>0</v>
      </c>
      <c r="J217" s="119">
        <f>I217/H217</f>
        <v>0</v>
      </c>
      <c r="K217" s="200"/>
      <c r="L217" s="193"/>
      <c r="M217" s="122"/>
      <c r="N217" s="200"/>
      <c r="O217" s="193"/>
      <c r="P217" s="28"/>
    </row>
    <row r="218" spans="1:16" ht="18.75">
      <c r="A218" s="15"/>
      <c r="B218" s="19"/>
      <c r="C218" s="15">
        <v>4440</v>
      </c>
      <c r="D218" s="9" t="s">
        <v>129</v>
      </c>
      <c r="E218" s="184">
        <v>22150</v>
      </c>
      <c r="F218" s="188">
        <v>6970</v>
      </c>
      <c r="G218" s="95">
        <f t="shared" si="33"/>
        <v>0.3146726862302483</v>
      </c>
      <c r="H218" s="184">
        <v>22150</v>
      </c>
      <c r="I218" s="188">
        <v>6970</v>
      </c>
      <c r="J218" s="119">
        <f t="shared" si="34"/>
        <v>0.3146726862302483</v>
      </c>
      <c r="K218" s="200"/>
      <c r="L218" s="193"/>
      <c r="M218" s="122"/>
      <c r="N218" s="200"/>
      <c r="O218" s="193"/>
      <c r="P218" s="28"/>
    </row>
    <row r="219" spans="1:16" ht="18.75">
      <c r="A219" s="15"/>
      <c r="B219" s="19"/>
      <c r="C219" s="15">
        <v>4580</v>
      </c>
      <c r="D219" s="9" t="s">
        <v>24</v>
      </c>
      <c r="E219" s="184">
        <v>8200</v>
      </c>
      <c r="F219" s="188">
        <v>5933.82</v>
      </c>
      <c r="G219" s="95">
        <f t="shared" si="33"/>
        <v>0.7236365853658536</v>
      </c>
      <c r="H219" s="184">
        <v>8200</v>
      </c>
      <c r="I219" s="188">
        <v>5933.82</v>
      </c>
      <c r="J219" s="119">
        <f t="shared" si="34"/>
        <v>0.7236365853658536</v>
      </c>
      <c r="K219" s="200"/>
      <c r="L219" s="193"/>
      <c r="M219" s="122"/>
      <c r="N219" s="200"/>
      <c r="O219" s="193"/>
      <c r="P219" s="28"/>
    </row>
    <row r="220" spans="1:16" ht="18.75">
      <c r="A220" s="15"/>
      <c r="B220" s="22">
        <v>80120</v>
      </c>
      <c r="C220" s="22"/>
      <c r="D220" s="22" t="s">
        <v>64</v>
      </c>
      <c r="E220" s="189">
        <f>SUM(E221:E235)</f>
        <v>523450</v>
      </c>
      <c r="F220" s="189">
        <f>SUM(F221:F235)</f>
        <v>263647.19000000006</v>
      </c>
      <c r="G220" s="94">
        <f>F220/E220</f>
        <v>0.5036721558888148</v>
      </c>
      <c r="H220" s="189">
        <f>SUM(H221:H235)</f>
        <v>523450</v>
      </c>
      <c r="I220" s="189">
        <f>SUM(I221:I235)</f>
        <v>263647.19000000006</v>
      </c>
      <c r="J220" s="79">
        <f>I220/H220</f>
        <v>0.5036721558888148</v>
      </c>
      <c r="K220" s="201"/>
      <c r="L220" s="196"/>
      <c r="M220" s="126"/>
      <c r="N220" s="201"/>
      <c r="O220" s="196"/>
      <c r="P220" s="127"/>
    </row>
    <row r="221" spans="1:16" ht="18.75">
      <c r="A221" s="15"/>
      <c r="B221" s="19"/>
      <c r="C221" s="15">
        <v>3020</v>
      </c>
      <c r="D221" s="9" t="s">
        <v>128</v>
      </c>
      <c r="E221" s="184">
        <v>21300</v>
      </c>
      <c r="F221" s="188">
        <v>9952.57</v>
      </c>
      <c r="G221" s="95">
        <f aca="true" t="shared" si="35" ref="G221:G235">F221/E221</f>
        <v>0.4672568075117371</v>
      </c>
      <c r="H221" s="184">
        <v>21300</v>
      </c>
      <c r="I221" s="188">
        <v>9952.57</v>
      </c>
      <c r="J221" s="119">
        <f aca="true" t="shared" si="36" ref="J221:J235">I221/H221</f>
        <v>0.4672568075117371</v>
      </c>
      <c r="K221" s="200"/>
      <c r="L221" s="193"/>
      <c r="M221" s="122"/>
      <c r="N221" s="200"/>
      <c r="O221" s="193"/>
      <c r="P221" s="28"/>
    </row>
    <row r="222" spans="1:16" ht="18.75">
      <c r="A222" s="15"/>
      <c r="B222" s="19"/>
      <c r="C222" s="15">
        <v>4010</v>
      </c>
      <c r="D222" s="9" t="s">
        <v>47</v>
      </c>
      <c r="E222" s="184">
        <v>287000</v>
      </c>
      <c r="F222" s="188">
        <v>147204.73</v>
      </c>
      <c r="G222" s="95">
        <f t="shared" si="35"/>
        <v>0.5129084668989548</v>
      </c>
      <c r="H222" s="184">
        <v>287000</v>
      </c>
      <c r="I222" s="188">
        <v>147204.73</v>
      </c>
      <c r="J222" s="119">
        <f t="shared" si="36"/>
        <v>0.5129084668989548</v>
      </c>
      <c r="K222" s="200"/>
      <c r="L222" s="193"/>
      <c r="M222" s="122"/>
      <c r="N222" s="200"/>
      <c r="O222" s="193"/>
      <c r="P222" s="28"/>
    </row>
    <row r="223" spans="1:16" ht="18.75">
      <c r="A223" s="15"/>
      <c r="B223" s="19"/>
      <c r="C223" s="15">
        <v>4040</v>
      </c>
      <c r="D223" s="9" t="s">
        <v>48</v>
      </c>
      <c r="E223" s="184">
        <v>21900</v>
      </c>
      <c r="F223" s="188">
        <v>19947.29</v>
      </c>
      <c r="G223" s="95">
        <f t="shared" si="35"/>
        <v>0.9108351598173516</v>
      </c>
      <c r="H223" s="184">
        <v>21900</v>
      </c>
      <c r="I223" s="188">
        <v>19947.29</v>
      </c>
      <c r="J223" s="119">
        <f t="shared" si="36"/>
        <v>0.9108351598173516</v>
      </c>
      <c r="K223" s="200"/>
      <c r="L223" s="193"/>
      <c r="M223" s="122"/>
      <c r="N223" s="200"/>
      <c r="O223" s="193"/>
      <c r="P223" s="28"/>
    </row>
    <row r="224" spans="1:16" ht="18.75">
      <c r="A224" s="15"/>
      <c r="B224" s="19"/>
      <c r="C224" s="15">
        <v>4110</v>
      </c>
      <c r="D224" s="9" t="s">
        <v>49</v>
      </c>
      <c r="E224" s="184">
        <v>72100</v>
      </c>
      <c r="F224" s="188">
        <v>35934.67</v>
      </c>
      <c r="G224" s="95">
        <f t="shared" si="35"/>
        <v>0.49840041608876556</v>
      </c>
      <c r="H224" s="184">
        <v>72100</v>
      </c>
      <c r="I224" s="188">
        <v>35934.67</v>
      </c>
      <c r="J224" s="119">
        <f t="shared" si="36"/>
        <v>0.49840041608876556</v>
      </c>
      <c r="K224" s="200"/>
      <c r="L224" s="193"/>
      <c r="M224" s="122"/>
      <c r="N224" s="200"/>
      <c r="O224" s="193"/>
      <c r="P224" s="28"/>
    </row>
    <row r="225" spans="1:16" ht="18.75">
      <c r="A225" s="15"/>
      <c r="B225" s="19"/>
      <c r="C225" s="15">
        <v>4120</v>
      </c>
      <c r="D225" s="9" t="s">
        <v>50</v>
      </c>
      <c r="E225" s="184">
        <v>10150</v>
      </c>
      <c r="F225" s="188">
        <v>5601.62</v>
      </c>
      <c r="G225" s="95">
        <f t="shared" si="35"/>
        <v>0.5518837438423645</v>
      </c>
      <c r="H225" s="184">
        <v>10150</v>
      </c>
      <c r="I225" s="188">
        <v>5601.62</v>
      </c>
      <c r="J225" s="119">
        <f t="shared" si="36"/>
        <v>0.5518837438423645</v>
      </c>
      <c r="K225" s="200"/>
      <c r="L225" s="193"/>
      <c r="M225" s="122"/>
      <c r="N225" s="200"/>
      <c r="O225" s="193"/>
      <c r="P225" s="28"/>
    </row>
    <row r="226" spans="1:16" ht="18.75">
      <c r="A226" s="15"/>
      <c r="B226" s="19"/>
      <c r="C226" s="15">
        <v>4170</v>
      </c>
      <c r="D226" s="9" t="s">
        <v>94</v>
      </c>
      <c r="E226" s="184">
        <v>3700</v>
      </c>
      <c r="F226" s="188">
        <v>1025.88</v>
      </c>
      <c r="G226" s="95">
        <f t="shared" si="35"/>
        <v>0.2772648648648649</v>
      </c>
      <c r="H226" s="184">
        <v>3700</v>
      </c>
      <c r="I226" s="188">
        <v>1025.88</v>
      </c>
      <c r="J226" s="119">
        <f t="shared" si="36"/>
        <v>0.2772648648648649</v>
      </c>
      <c r="K226" s="200"/>
      <c r="L226" s="193"/>
      <c r="M226" s="122"/>
      <c r="N226" s="200"/>
      <c r="O226" s="193"/>
      <c r="P226" s="28"/>
    </row>
    <row r="227" spans="1:16" ht="18.75">
      <c r="A227" s="15"/>
      <c r="B227" s="19"/>
      <c r="C227" s="15">
        <v>4210</v>
      </c>
      <c r="D227" s="9" t="s">
        <v>43</v>
      </c>
      <c r="E227" s="184">
        <v>6800</v>
      </c>
      <c r="F227" s="188">
        <v>4513.79</v>
      </c>
      <c r="G227" s="95">
        <f t="shared" si="35"/>
        <v>0.6637926470588236</v>
      </c>
      <c r="H227" s="184">
        <v>6800</v>
      </c>
      <c r="I227" s="188">
        <v>4513.79</v>
      </c>
      <c r="J227" s="119">
        <f t="shared" si="36"/>
        <v>0.6637926470588236</v>
      </c>
      <c r="K227" s="200"/>
      <c r="L227" s="193"/>
      <c r="M227" s="122"/>
      <c r="N227" s="200"/>
      <c r="O227" s="193"/>
      <c r="P227" s="28"/>
    </row>
    <row r="228" spans="1:16" ht="18.75">
      <c r="A228" s="15"/>
      <c r="B228" s="19"/>
      <c r="C228" s="15">
        <v>4240</v>
      </c>
      <c r="D228" s="9" t="s">
        <v>135</v>
      </c>
      <c r="E228" s="184">
        <v>1500</v>
      </c>
      <c r="F228" s="188">
        <v>0</v>
      </c>
      <c r="G228" s="95">
        <f t="shared" si="35"/>
        <v>0</v>
      </c>
      <c r="H228" s="184">
        <v>1500</v>
      </c>
      <c r="I228" s="188">
        <v>0</v>
      </c>
      <c r="J228" s="119">
        <f t="shared" si="36"/>
        <v>0</v>
      </c>
      <c r="K228" s="200"/>
      <c r="L228" s="193"/>
      <c r="M228" s="122"/>
      <c r="N228" s="200"/>
      <c r="O228" s="193"/>
      <c r="P228" s="28"/>
    </row>
    <row r="229" spans="1:16" ht="18.75">
      <c r="A229" s="15"/>
      <c r="B229" s="19"/>
      <c r="C229" s="15">
        <v>4260</v>
      </c>
      <c r="D229" s="9" t="s">
        <v>52</v>
      </c>
      <c r="E229" s="184">
        <v>63900</v>
      </c>
      <c r="F229" s="188">
        <v>26458.68</v>
      </c>
      <c r="G229" s="95">
        <f t="shared" si="35"/>
        <v>0.41406384976525823</v>
      </c>
      <c r="H229" s="184">
        <v>63900</v>
      </c>
      <c r="I229" s="188">
        <v>26458.68</v>
      </c>
      <c r="J229" s="119">
        <f t="shared" si="36"/>
        <v>0.41406384976525823</v>
      </c>
      <c r="K229" s="200"/>
      <c r="L229" s="193"/>
      <c r="M229" s="122"/>
      <c r="N229" s="200"/>
      <c r="O229" s="193"/>
      <c r="P229" s="28"/>
    </row>
    <row r="230" spans="1:16" ht="18.75">
      <c r="A230" s="15"/>
      <c r="B230" s="19"/>
      <c r="C230" s="15">
        <v>4270</v>
      </c>
      <c r="D230" s="9" t="s">
        <v>44</v>
      </c>
      <c r="E230" s="184">
        <v>2000</v>
      </c>
      <c r="F230" s="188">
        <v>0</v>
      </c>
      <c r="G230" s="95">
        <f>F230/E230</f>
        <v>0</v>
      </c>
      <c r="H230" s="184">
        <v>2000</v>
      </c>
      <c r="I230" s="188">
        <v>0</v>
      </c>
      <c r="J230" s="119">
        <f>I230/H230</f>
        <v>0</v>
      </c>
      <c r="K230" s="200"/>
      <c r="L230" s="193"/>
      <c r="M230" s="122"/>
      <c r="N230" s="200"/>
      <c r="O230" s="193"/>
      <c r="P230" s="28"/>
    </row>
    <row r="231" spans="1:16" ht="18.75">
      <c r="A231" s="15"/>
      <c r="B231" s="19"/>
      <c r="C231" s="15">
        <v>4300</v>
      </c>
      <c r="D231" s="9" t="s">
        <v>45</v>
      </c>
      <c r="E231" s="184">
        <v>4000</v>
      </c>
      <c r="F231" s="188">
        <v>2222.7</v>
      </c>
      <c r="G231" s="95">
        <f t="shared" si="35"/>
        <v>0.5556749999999999</v>
      </c>
      <c r="H231" s="184">
        <v>4000</v>
      </c>
      <c r="I231" s="188">
        <v>2222.7</v>
      </c>
      <c r="J231" s="119">
        <f t="shared" si="36"/>
        <v>0.5556749999999999</v>
      </c>
      <c r="K231" s="200"/>
      <c r="L231" s="193"/>
      <c r="M231" s="122"/>
      <c r="N231" s="200"/>
      <c r="O231" s="193"/>
      <c r="P231" s="28"/>
    </row>
    <row r="232" spans="1:16" ht="18.75">
      <c r="A232" s="15"/>
      <c r="B232" s="19"/>
      <c r="C232" s="15">
        <v>4350</v>
      </c>
      <c r="D232" s="9" t="s">
        <v>101</v>
      </c>
      <c r="E232" s="184">
        <v>550</v>
      </c>
      <c r="F232" s="188">
        <v>325.98</v>
      </c>
      <c r="G232" s="95">
        <f t="shared" si="35"/>
        <v>0.5926909090909092</v>
      </c>
      <c r="H232" s="184">
        <v>550</v>
      </c>
      <c r="I232" s="188">
        <v>325.98</v>
      </c>
      <c r="J232" s="119">
        <f t="shared" si="36"/>
        <v>0.5926909090909092</v>
      </c>
      <c r="K232" s="200"/>
      <c r="L232" s="193"/>
      <c r="M232" s="122"/>
      <c r="N232" s="200"/>
      <c r="O232" s="193"/>
      <c r="P232" s="28"/>
    </row>
    <row r="233" spans="1:16" ht="18.75">
      <c r="A233" s="15"/>
      <c r="B233" s="19"/>
      <c r="C233" s="15">
        <v>4410</v>
      </c>
      <c r="D233" s="9" t="s">
        <v>55</v>
      </c>
      <c r="E233" s="184">
        <v>2000</v>
      </c>
      <c r="F233" s="188">
        <v>836.45</v>
      </c>
      <c r="G233" s="95">
        <f t="shared" si="35"/>
        <v>0.418225</v>
      </c>
      <c r="H233" s="184">
        <v>2000</v>
      </c>
      <c r="I233" s="188">
        <v>836.45</v>
      </c>
      <c r="J233" s="119">
        <f t="shared" si="36"/>
        <v>0.418225</v>
      </c>
      <c r="K233" s="200"/>
      <c r="L233" s="193"/>
      <c r="M233" s="122"/>
      <c r="N233" s="200"/>
      <c r="O233" s="193"/>
      <c r="P233" s="28"/>
    </row>
    <row r="234" spans="1:16" ht="18.75">
      <c r="A234" s="15"/>
      <c r="B234" s="19"/>
      <c r="C234" s="15">
        <v>4440</v>
      </c>
      <c r="D234" s="9" t="s">
        <v>129</v>
      </c>
      <c r="E234" s="184">
        <v>22050</v>
      </c>
      <c r="F234" s="188">
        <v>6430</v>
      </c>
      <c r="G234" s="95">
        <f t="shared" si="35"/>
        <v>0.291609977324263</v>
      </c>
      <c r="H234" s="184">
        <v>22050</v>
      </c>
      <c r="I234" s="188">
        <v>6430</v>
      </c>
      <c r="J234" s="119">
        <f t="shared" si="36"/>
        <v>0.291609977324263</v>
      </c>
      <c r="K234" s="200"/>
      <c r="L234" s="193"/>
      <c r="M234" s="122"/>
      <c r="N234" s="200"/>
      <c r="O234" s="193"/>
      <c r="P234" s="28"/>
    </row>
    <row r="235" spans="1:16" ht="18.75">
      <c r="A235" s="15"/>
      <c r="B235" s="19"/>
      <c r="C235" s="15">
        <v>4580</v>
      </c>
      <c r="D235" s="9" t="s">
        <v>24</v>
      </c>
      <c r="E235" s="184">
        <v>4500</v>
      </c>
      <c r="F235" s="188">
        <v>3192.83</v>
      </c>
      <c r="G235" s="95">
        <f t="shared" si="35"/>
        <v>0.7095177777777778</v>
      </c>
      <c r="H235" s="184">
        <v>4500</v>
      </c>
      <c r="I235" s="188">
        <v>3192.83</v>
      </c>
      <c r="J235" s="119">
        <f t="shared" si="36"/>
        <v>0.7095177777777778</v>
      </c>
      <c r="K235" s="200"/>
      <c r="L235" s="193"/>
      <c r="M235" s="122"/>
      <c r="N235" s="200"/>
      <c r="O235" s="193"/>
      <c r="P235" s="28"/>
    </row>
    <row r="236" spans="1:16" ht="18.75">
      <c r="A236" s="15"/>
      <c r="B236" s="22">
        <v>80146</v>
      </c>
      <c r="C236" s="22"/>
      <c r="D236" s="22" t="s">
        <v>65</v>
      </c>
      <c r="E236" s="189">
        <f>SUM(E237:E238)</f>
        <v>23600</v>
      </c>
      <c r="F236" s="189">
        <f>SUM(F237:F238)</f>
        <v>7597.68</v>
      </c>
      <c r="G236" s="94">
        <f aca="true" t="shared" si="37" ref="G236:G241">F236/E236</f>
        <v>0.321935593220339</v>
      </c>
      <c r="H236" s="189">
        <f>SUM(H237:H238)</f>
        <v>23600</v>
      </c>
      <c r="I236" s="189">
        <f>SUM(I237:I238)</f>
        <v>7597.68</v>
      </c>
      <c r="J236" s="79">
        <f aca="true" t="shared" si="38" ref="J236:J241">I236/H236</f>
        <v>0.321935593220339</v>
      </c>
      <c r="K236" s="208"/>
      <c r="L236" s="189"/>
      <c r="M236" s="121"/>
      <c r="N236" s="208"/>
      <c r="O236" s="189"/>
      <c r="P236" s="23"/>
    </row>
    <row r="237" spans="1:16" ht="18.75">
      <c r="A237" s="15"/>
      <c r="B237" s="19"/>
      <c r="C237" s="15">
        <v>4300</v>
      </c>
      <c r="D237" s="9" t="s">
        <v>45</v>
      </c>
      <c r="E237" s="184">
        <v>19000</v>
      </c>
      <c r="F237" s="188">
        <v>5385</v>
      </c>
      <c r="G237" s="95">
        <f t="shared" si="37"/>
        <v>0.28342105263157896</v>
      </c>
      <c r="H237" s="184">
        <v>19000</v>
      </c>
      <c r="I237" s="188">
        <v>5385</v>
      </c>
      <c r="J237" s="119">
        <f t="shared" si="38"/>
        <v>0.28342105263157896</v>
      </c>
      <c r="K237" s="200"/>
      <c r="L237" s="193"/>
      <c r="M237" s="122"/>
      <c r="N237" s="200"/>
      <c r="O237" s="193"/>
      <c r="P237" s="28"/>
    </row>
    <row r="238" spans="1:16" ht="18.75">
      <c r="A238" s="15"/>
      <c r="B238" s="19"/>
      <c r="C238" s="15">
        <v>4410</v>
      </c>
      <c r="D238" s="9" t="s">
        <v>55</v>
      </c>
      <c r="E238" s="184">
        <v>4600</v>
      </c>
      <c r="F238" s="188">
        <v>2212.68</v>
      </c>
      <c r="G238" s="95">
        <f t="shared" si="37"/>
        <v>0.4810173913043478</v>
      </c>
      <c r="H238" s="184">
        <v>4600</v>
      </c>
      <c r="I238" s="188">
        <v>2212.68</v>
      </c>
      <c r="J238" s="119">
        <f t="shared" si="38"/>
        <v>0.4810173913043478</v>
      </c>
      <c r="K238" s="200"/>
      <c r="L238" s="193"/>
      <c r="M238" s="122"/>
      <c r="N238" s="200"/>
      <c r="O238" s="193"/>
      <c r="P238" s="28"/>
    </row>
    <row r="239" spans="1:16" ht="18.75">
      <c r="A239" s="15"/>
      <c r="B239" s="22">
        <v>80195</v>
      </c>
      <c r="C239" s="22"/>
      <c r="D239" s="22" t="s">
        <v>4</v>
      </c>
      <c r="E239" s="189">
        <f>SUM(E240:E240)</f>
        <v>28210</v>
      </c>
      <c r="F239" s="189">
        <f>SUM(F240:F240)</f>
        <v>0</v>
      </c>
      <c r="G239" s="94">
        <f t="shared" si="37"/>
        <v>0</v>
      </c>
      <c r="H239" s="189">
        <f>SUM(H240:H240)</f>
        <v>28210</v>
      </c>
      <c r="I239" s="189">
        <f>SUM(I240:I240)</f>
        <v>0</v>
      </c>
      <c r="J239" s="79">
        <f t="shared" si="38"/>
        <v>0</v>
      </c>
      <c r="K239" s="208"/>
      <c r="L239" s="189"/>
      <c r="M239" s="121"/>
      <c r="N239" s="208"/>
      <c r="O239" s="189"/>
      <c r="P239" s="23"/>
    </row>
    <row r="240" spans="1:16" ht="19.5" thickBot="1">
      <c r="A240" s="15"/>
      <c r="B240" s="19"/>
      <c r="C240" s="15">
        <v>4440</v>
      </c>
      <c r="D240" s="9" t="s">
        <v>129</v>
      </c>
      <c r="E240" s="184">
        <v>28210</v>
      </c>
      <c r="F240" s="188">
        <v>0</v>
      </c>
      <c r="G240" s="95">
        <f t="shared" si="37"/>
        <v>0</v>
      </c>
      <c r="H240" s="184">
        <v>28210</v>
      </c>
      <c r="I240" s="188">
        <v>0</v>
      </c>
      <c r="J240" s="119">
        <f t="shared" si="38"/>
        <v>0</v>
      </c>
      <c r="K240" s="198"/>
      <c r="L240" s="184"/>
      <c r="M240" s="131"/>
      <c r="N240" s="198"/>
      <c r="O240" s="184"/>
      <c r="P240" s="10"/>
    </row>
    <row r="241" spans="1:16" ht="19.5" thickBot="1">
      <c r="A241" s="12">
        <v>851</v>
      </c>
      <c r="B241" s="12"/>
      <c r="C241" s="12"/>
      <c r="D241" s="12" t="s">
        <v>16</v>
      </c>
      <c r="E241" s="186">
        <f>E242+E247</f>
        <v>70000</v>
      </c>
      <c r="F241" s="186">
        <f>F242+F247</f>
        <v>26609.5</v>
      </c>
      <c r="G241" s="83">
        <f t="shared" si="37"/>
        <v>0.3801357142857143</v>
      </c>
      <c r="H241" s="186">
        <f>H242+H247</f>
        <v>70000</v>
      </c>
      <c r="I241" s="186">
        <f>I242+I247</f>
        <v>26609.5</v>
      </c>
      <c r="J241" s="84">
        <f t="shared" si="38"/>
        <v>0.3801357142857143</v>
      </c>
      <c r="K241" s="214"/>
      <c r="L241" s="215"/>
      <c r="M241" s="136"/>
      <c r="N241" s="214"/>
      <c r="O241" s="215"/>
      <c r="P241" s="137"/>
    </row>
    <row r="242" spans="1:16" ht="18.75">
      <c r="A242" s="15"/>
      <c r="B242" s="15">
        <v>85153</v>
      </c>
      <c r="C242" s="15"/>
      <c r="D242" s="15" t="s">
        <v>148</v>
      </c>
      <c r="E242" s="182">
        <f>SUM(E243:E246)</f>
        <v>7000</v>
      </c>
      <c r="F242" s="182">
        <f>SUM(F243:F246)</f>
        <v>0</v>
      </c>
      <c r="G242" s="113">
        <f aca="true" t="shared" si="39" ref="G242:G248">F242/E242</f>
        <v>0</v>
      </c>
      <c r="H242" s="182">
        <f>SUM(H243:H246)</f>
        <v>7000</v>
      </c>
      <c r="I242" s="182">
        <f>SUM(I243:I246)</f>
        <v>0</v>
      </c>
      <c r="J242" s="72">
        <f aca="true" t="shared" si="40" ref="J242:J248">I242/H242</f>
        <v>0</v>
      </c>
      <c r="K242" s="197"/>
      <c r="L242" s="182"/>
      <c r="M242" s="118"/>
      <c r="N242" s="197"/>
      <c r="O242" s="182"/>
      <c r="P242" s="26"/>
    </row>
    <row r="243" spans="1:16" ht="18.75">
      <c r="A243" s="15"/>
      <c r="B243" s="15"/>
      <c r="C243" s="15">
        <v>4210</v>
      </c>
      <c r="D243" s="9" t="s">
        <v>43</v>
      </c>
      <c r="E243" s="184">
        <v>2000</v>
      </c>
      <c r="F243" s="184">
        <v>0</v>
      </c>
      <c r="G243" s="113">
        <f t="shared" si="39"/>
        <v>0</v>
      </c>
      <c r="H243" s="184">
        <v>2000</v>
      </c>
      <c r="I243" s="184">
        <v>0</v>
      </c>
      <c r="J243" s="72">
        <f t="shared" si="40"/>
        <v>0</v>
      </c>
      <c r="K243" s="197"/>
      <c r="L243" s="182"/>
      <c r="M243" s="118"/>
      <c r="N243" s="197"/>
      <c r="O243" s="182"/>
      <c r="P243" s="26"/>
    </row>
    <row r="244" spans="1:16" ht="18.75">
      <c r="A244" s="15"/>
      <c r="B244" s="15"/>
      <c r="C244" s="15">
        <v>4230</v>
      </c>
      <c r="D244" s="9" t="s">
        <v>99</v>
      </c>
      <c r="E244" s="184">
        <v>500</v>
      </c>
      <c r="F244" s="184">
        <v>0</v>
      </c>
      <c r="G244" s="113">
        <f t="shared" si="39"/>
        <v>0</v>
      </c>
      <c r="H244" s="184">
        <v>500</v>
      </c>
      <c r="I244" s="184">
        <v>0</v>
      </c>
      <c r="J244" s="72">
        <f t="shared" si="40"/>
        <v>0</v>
      </c>
      <c r="K244" s="197"/>
      <c r="L244" s="182"/>
      <c r="M244" s="118"/>
      <c r="N244" s="197"/>
      <c r="O244" s="182"/>
      <c r="P244" s="26"/>
    </row>
    <row r="245" spans="1:16" ht="18.75">
      <c r="A245" s="15"/>
      <c r="B245" s="15"/>
      <c r="C245" s="15">
        <v>4280</v>
      </c>
      <c r="D245" s="9" t="s">
        <v>98</v>
      </c>
      <c r="E245" s="184">
        <v>500</v>
      </c>
      <c r="F245" s="184">
        <v>0</v>
      </c>
      <c r="G245" s="113">
        <f t="shared" si="39"/>
        <v>0</v>
      </c>
      <c r="H245" s="184">
        <v>500</v>
      </c>
      <c r="I245" s="184">
        <v>0</v>
      </c>
      <c r="J245" s="72">
        <f t="shared" si="40"/>
        <v>0</v>
      </c>
      <c r="K245" s="197"/>
      <c r="L245" s="182"/>
      <c r="M245" s="118"/>
      <c r="N245" s="197"/>
      <c r="O245" s="182"/>
      <c r="P245" s="26"/>
    </row>
    <row r="246" spans="1:16" ht="18.75">
      <c r="A246" s="15"/>
      <c r="B246" s="15"/>
      <c r="C246" s="15">
        <v>4300</v>
      </c>
      <c r="D246" s="9" t="s">
        <v>45</v>
      </c>
      <c r="E246" s="184">
        <v>4000</v>
      </c>
      <c r="F246" s="184">
        <v>0</v>
      </c>
      <c r="G246" s="113">
        <f t="shared" si="39"/>
        <v>0</v>
      </c>
      <c r="H246" s="184">
        <v>4000</v>
      </c>
      <c r="I246" s="184">
        <v>0</v>
      </c>
      <c r="J246" s="72">
        <f t="shared" si="40"/>
        <v>0</v>
      </c>
      <c r="K246" s="197"/>
      <c r="L246" s="182"/>
      <c r="M246" s="118"/>
      <c r="N246" s="197"/>
      <c r="O246" s="182"/>
      <c r="P246" s="26"/>
    </row>
    <row r="247" spans="1:16" ht="18.75">
      <c r="A247" s="7"/>
      <c r="B247" s="22">
        <v>85154</v>
      </c>
      <c r="C247" s="22"/>
      <c r="D247" s="22" t="s">
        <v>66</v>
      </c>
      <c r="E247" s="189">
        <f>SUM(E248:E254)</f>
        <v>63000</v>
      </c>
      <c r="F247" s="189">
        <f>SUM(F248:F254)</f>
        <v>26609.5</v>
      </c>
      <c r="G247" s="94">
        <f t="shared" si="39"/>
        <v>0.4223730158730159</v>
      </c>
      <c r="H247" s="189">
        <f>SUM(H248:H254)</f>
        <v>63000</v>
      </c>
      <c r="I247" s="189">
        <f>SUM(I248:I254)</f>
        <v>26609.5</v>
      </c>
      <c r="J247" s="79">
        <f t="shared" si="40"/>
        <v>0.4223730158730159</v>
      </c>
      <c r="K247" s="201"/>
      <c r="L247" s="196"/>
      <c r="M247" s="126"/>
      <c r="N247" s="201"/>
      <c r="O247" s="196"/>
      <c r="P247" s="127"/>
    </row>
    <row r="248" spans="1:16" ht="56.25">
      <c r="A248" s="7"/>
      <c r="B248" s="15"/>
      <c r="C248" s="169">
        <v>2820</v>
      </c>
      <c r="D248" s="147" t="s">
        <v>137</v>
      </c>
      <c r="E248" s="184">
        <f>H248</f>
        <v>30000</v>
      </c>
      <c r="F248" s="184">
        <v>15000</v>
      </c>
      <c r="G248" s="95">
        <f t="shared" si="39"/>
        <v>0.5</v>
      </c>
      <c r="H248" s="185">
        <v>30000</v>
      </c>
      <c r="I248" s="193">
        <v>15000</v>
      </c>
      <c r="J248" s="119">
        <f t="shared" si="40"/>
        <v>0.5</v>
      </c>
      <c r="K248" s="200"/>
      <c r="L248" s="193"/>
      <c r="M248" s="122"/>
      <c r="N248" s="200"/>
      <c r="O248" s="193"/>
      <c r="P248" s="28"/>
    </row>
    <row r="249" spans="1:16" ht="18.75">
      <c r="A249" s="15"/>
      <c r="B249" s="19"/>
      <c r="C249" s="15">
        <v>4170</v>
      </c>
      <c r="D249" s="9" t="s">
        <v>94</v>
      </c>
      <c r="E249" s="184">
        <v>1500</v>
      </c>
      <c r="F249" s="188">
        <v>0</v>
      </c>
      <c r="G249" s="95">
        <f aca="true" t="shared" si="41" ref="G249:G256">F249/E249</f>
        <v>0</v>
      </c>
      <c r="H249" s="193">
        <v>1500</v>
      </c>
      <c r="I249" s="193">
        <v>0</v>
      </c>
      <c r="J249" s="119">
        <f aca="true" t="shared" si="42" ref="J249:J255">I249/H249</f>
        <v>0</v>
      </c>
      <c r="K249" s="200"/>
      <c r="L249" s="193"/>
      <c r="M249" s="122"/>
      <c r="N249" s="200"/>
      <c r="O249" s="193"/>
      <c r="P249" s="28"/>
    </row>
    <row r="250" spans="1:16" ht="18.75">
      <c r="A250" s="15"/>
      <c r="B250" s="15"/>
      <c r="C250" s="15">
        <v>4210</v>
      </c>
      <c r="D250" s="9" t="s">
        <v>43</v>
      </c>
      <c r="E250" s="184">
        <v>4000</v>
      </c>
      <c r="F250" s="184">
        <v>200.5</v>
      </c>
      <c r="G250" s="95">
        <f t="shared" si="41"/>
        <v>0.050125</v>
      </c>
      <c r="H250" s="185">
        <v>4000</v>
      </c>
      <c r="I250" s="193">
        <v>200.5</v>
      </c>
      <c r="J250" s="119">
        <f t="shared" si="42"/>
        <v>0.050125</v>
      </c>
      <c r="K250" s="200"/>
      <c r="L250" s="193"/>
      <c r="M250" s="122"/>
      <c r="N250" s="200"/>
      <c r="O250" s="193"/>
      <c r="P250" s="28"/>
    </row>
    <row r="251" spans="1:16" ht="18.75">
      <c r="A251" s="15"/>
      <c r="B251" s="15"/>
      <c r="C251" s="15">
        <v>4230</v>
      </c>
      <c r="D251" s="9" t="s">
        <v>99</v>
      </c>
      <c r="E251" s="184">
        <v>2000</v>
      </c>
      <c r="F251" s="184">
        <v>450</v>
      </c>
      <c r="G251" s="95">
        <f t="shared" si="41"/>
        <v>0.225</v>
      </c>
      <c r="H251" s="185">
        <v>2000</v>
      </c>
      <c r="I251" s="193">
        <v>450</v>
      </c>
      <c r="J251" s="119">
        <f t="shared" si="42"/>
        <v>0.225</v>
      </c>
      <c r="K251" s="200"/>
      <c r="L251" s="193"/>
      <c r="M251" s="122"/>
      <c r="N251" s="200"/>
      <c r="O251" s="193"/>
      <c r="P251" s="28"/>
    </row>
    <row r="252" spans="1:16" ht="18.75">
      <c r="A252" s="15"/>
      <c r="B252" s="15"/>
      <c r="C252" s="15">
        <v>4280</v>
      </c>
      <c r="D252" s="9" t="s">
        <v>98</v>
      </c>
      <c r="E252" s="184">
        <v>2000</v>
      </c>
      <c r="F252" s="184">
        <v>900</v>
      </c>
      <c r="G252" s="95">
        <f t="shared" si="41"/>
        <v>0.45</v>
      </c>
      <c r="H252" s="185">
        <v>2000</v>
      </c>
      <c r="I252" s="193">
        <v>900</v>
      </c>
      <c r="J252" s="119">
        <f t="shared" si="42"/>
        <v>0.45</v>
      </c>
      <c r="K252" s="200"/>
      <c r="L252" s="193"/>
      <c r="M252" s="122"/>
      <c r="N252" s="200"/>
      <c r="O252" s="193"/>
      <c r="P252" s="28"/>
    </row>
    <row r="253" spans="1:16" ht="18.75">
      <c r="A253" s="7"/>
      <c r="B253" s="15"/>
      <c r="C253" s="15">
        <v>4300</v>
      </c>
      <c r="D253" s="9" t="s">
        <v>45</v>
      </c>
      <c r="E253" s="184">
        <v>22000</v>
      </c>
      <c r="F253" s="184">
        <v>10059</v>
      </c>
      <c r="G253" s="95">
        <f t="shared" si="41"/>
        <v>0.4572272727272727</v>
      </c>
      <c r="H253" s="185">
        <v>22000</v>
      </c>
      <c r="I253" s="193">
        <v>10059</v>
      </c>
      <c r="J253" s="119">
        <f t="shared" si="42"/>
        <v>0.4572272727272727</v>
      </c>
      <c r="K253" s="200"/>
      <c r="L253" s="193"/>
      <c r="M253" s="122"/>
      <c r="N253" s="200"/>
      <c r="O253" s="193"/>
      <c r="P253" s="28"/>
    </row>
    <row r="254" spans="1:16" ht="19.5" thickBot="1">
      <c r="A254" s="7"/>
      <c r="B254" s="15"/>
      <c r="C254" s="15">
        <v>4410</v>
      </c>
      <c r="D254" s="9" t="s">
        <v>55</v>
      </c>
      <c r="E254" s="184">
        <v>1500</v>
      </c>
      <c r="F254" s="184">
        <v>0</v>
      </c>
      <c r="G254" s="95">
        <f t="shared" si="41"/>
        <v>0</v>
      </c>
      <c r="H254" s="185">
        <v>1500</v>
      </c>
      <c r="I254" s="193">
        <v>0</v>
      </c>
      <c r="J254" s="119">
        <f t="shared" si="42"/>
        <v>0</v>
      </c>
      <c r="K254" s="200"/>
      <c r="L254" s="193"/>
      <c r="M254" s="122"/>
      <c r="N254" s="200"/>
      <c r="O254" s="193"/>
      <c r="P254" s="28"/>
    </row>
    <row r="255" spans="1:16" ht="19.5" thickBot="1">
      <c r="A255" s="12">
        <v>852</v>
      </c>
      <c r="B255" s="12"/>
      <c r="C255" s="12"/>
      <c r="D255" s="12" t="s">
        <v>92</v>
      </c>
      <c r="E255" s="186">
        <f>E256+E267+E269+E272+E274+E288</f>
        <v>2607398</v>
      </c>
      <c r="F255" s="186">
        <f>F256+F267+F269+F272+F274+F288</f>
        <v>1213552.0199999998</v>
      </c>
      <c r="G255" s="83">
        <f t="shared" si="41"/>
        <v>0.4654264596352378</v>
      </c>
      <c r="H255" s="186">
        <f>H256+H267+H269+H272+H274+H288</f>
        <v>834185</v>
      </c>
      <c r="I255" s="186">
        <f>I256+I267+I269+I272+I274+I288</f>
        <v>454399.06000000006</v>
      </c>
      <c r="J255" s="74">
        <f t="shared" si="42"/>
        <v>0.5447221659464029</v>
      </c>
      <c r="K255" s="209">
        <f>K256+K267+K269+K272+K274+K288</f>
        <v>1773213</v>
      </c>
      <c r="L255" s="186">
        <f>L256+L267+L269+L272+L274+L288</f>
        <v>759152.9599999998</v>
      </c>
      <c r="M255" s="124">
        <f>L255/K255</f>
        <v>0.42812282562782916</v>
      </c>
      <c r="N255" s="214"/>
      <c r="O255" s="215"/>
      <c r="P255" s="137"/>
    </row>
    <row r="256" spans="1:16" ht="56.25">
      <c r="A256" s="7"/>
      <c r="B256" s="170">
        <v>85212</v>
      </c>
      <c r="C256" s="170"/>
      <c r="D256" s="42" t="s">
        <v>123</v>
      </c>
      <c r="E256" s="189">
        <f>SUM(E257:E266)</f>
        <v>1716000</v>
      </c>
      <c r="F256" s="189">
        <f>SUM(F257:F266)</f>
        <v>724253.7399999999</v>
      </c>
      <c r="G256" s="113">
        <f t="shared" si="41"/>
        <v>0.42205928904428897</v>
      </c>
      <c r="H256" s="189"/>
      <c r="I256" s="189"/>
      <c r="J256" s="79"/>
      <c r="K256" s="204">
        <f>SUM(K257:K266)</f>
        <v>1716000</v>
      </c>
      <c r="L256" s="189">
        <f>SUM(L257:L266)</f>
        <v>724253.7399999999</v>
      </c>
      <c r="M256" s="130">
        <f>L256/K256</f>
        <v>0.42205928904428897</v>
      </c>
      <c r="N256" s="197"/>
      <c r="O256" s="182"/>
      <c r="P256" s="26"/>
    </row>
    <row r="257" spans="1:16" ht="18.75">
      <c r="A257" s="7"/>
      <c r="B257" s="15"/>
      <c r="C257" s="15">
        <v>3110</v>
      </c>
      <c r="D257" s="9" t="s">
        <v>67</v>
      </c>
      <c r="E257" s="184">
        <v>1640010</v>
      </c>
      <c r="F257" s="188">
        <v>688344.28</v>
      </c>
      <c r="G257" s="95">
        <f aca="true" t="shared" si="43" ref="G257:G266">F257/E257</f>
        <v>0.4197195626855934</v>
      </c>
      <c r="H257" s="183"/>
      <c r="I257" s="182"/>
      <c r="J257" s="150"/>
      <c r="K257" s="185">
        <v>1640010</v>
      </c>
      <c r="L257" s="188">
        <v>688344.28</v>
      </c>
      <c r="M257" s="133">
        <f aca="true" t="shared" si="44" ref="M257:M266">L257/K257</f>
        <v>0.4197195626855934</v>
      </c>
      <c r="N257" s="200"/>
      <c r="O257" s="193"/>
      <c r="P257" s="28"/>
    </row>
    <row r="258" spans="1:16" ht="18.75">
      <c r="A258" s="7"/>
      <c r="B258" s="15"/>
      <c r="C258" s="15">
        <v>4010</v>
      </c>
      <c r="D258" s="9" t="s">
        <v>47</v>
      </c>
      <c r="E258" s="184">
        <v>24700</v>
      </c>
      <c r="F258" s="188">
        <v>9401.6</v>
      </c>
      <c r="G258" s="95">
        <f t="shared" si="43"/>
        <v>0.38063157894736843</v>
      </c>
      <c r="H258" s="183"/>
      <c r="I258" s="182"/>
      <c r="J258" s="150"/>
      <c r="K258" s="185">
        <v>24700</v>
      </c>
      <c r="L258" s="188">
        <v>9401.6</v>
      </c>
      <c r="M258" s="133">
        <f t="shared" si="44"/>
        <v>0.38063157894736843</v>
      </c>
      <c r="N258" s="200"/>
      <c r="O258" s="193"/>
      <c r="P258" s="28"/>
    </row>
    <row r="259" spans="1:16" ht="18.75">
      <c r="A259" s="7"/>
      <c r="B259" s="15"/>
      <c r="C259" s="15">
        <v>4040</v>
      </c>
      <c r="D259" s="9" t="s">
        <v>48</v>
      </c>
      <c r="E259" s="184">
        <v>1150</v>
      </c>
      <c r="F259" s="188">
        <v>1139</v>
      </c>
      <c r="G259" s="95">
        <f t="shared" si="43"/>
        <v>0.9904347826086957</v>
      </c>
      <c r="H259" s="183"/>
      <c r="I259" s="182"/>
      <c r="J259" s="150"/>
      <c r="K259" s="185">
        <v>1150</v>
      </c>
      <c r="L259" s="188">
        <v>1139</v>
      </c>
      <c r="M259" s="133">
        <f t="shared" si="44"/>
        <v>0.9904347826086957</v>
      </c>
      <c r="N259" s="200"/>
      <c r="O259" s="193"/>
      <c r="P259" s="28"/>
    </row>
    <row r="260" spans="1:16" ht="18.75">
      <c r="A260" s="7"/>
      <c r="B260" s="15"/>
      <c r="C260" s="15">
        <v>4110</v>
      </c>
      <c r="D260" s="9" t="s">
        <v>49</v>
      </c>
      <c r="E260" s="184">
        <v>29400</v>
      </c>
      <c r="F260" s="188">
        <v>10944.07</v>
      </c>
      <c r="G260" s="95">
        <f t="shared" si="43"/>
        <v>0.3722472789115646</v>
      </c>
      <c r="H260" s="183"/>
      <c r="I260" s="182"/>
      <c r="J260" s="150"/>
      <c r="K260" s="185">
        <v>29400</v>
      </c>
      <c r="L260" s="188">
        <v>10944.07</v>
      </c>
      <c r="M260" s="133">
        <f t="shared" si="44"/>
        <v>0.3722472789115646</v>
      </c>
      <c r="N260" s="200"/>
      <c r="O260" s="193"/>
      <c r="P260" s="28"/>
    </row>
    <row r="261" spans="1:16" ht="18.75">
      <c r="A261" s="7"/>
      <c r="B261" s="15"/>
      <c r="C261" s="15">
        <v>4120</v>
      </c>
      <c r="D261" s="9" t="s">
        <v>50</v>
      </c>
      <c r="E261" s="184">
        <v>790</v>
      </c>
      <c r="F261" s="188">
        <v>230.03</v>
      </c>
      <c r="G261" s="95">
        <f t="shared" si="43"/>
        <v>0.29117721518987344</v>
      </c>
      <c r="H261" s="183"/>
      <c r="I261" s="182"/>
      <c r="J261" s="150"/>
      <c r="K261" s="185">
        <v>790</v>
      </c>
      <c r="L261" s="188">
        <v>230.03</v>
      </c>
      <c r="M261" s="133">
        <f t="shared" si="44"/>
        <v>0.29117721518987344</v>
      </c>
      <c r="N261" s="200"/>
      <c r="O261" s="193"/>
      <c r="P261" s="28"/>
    </row>
    <row r="262" spans="1:16" ht="18.75">
      <c r="A262" s="7"/>
      <c r="B262" s="15"/>
      <c r="C262" s="15">
        <v>4210</v>
      </c>
      <c r="D262" s="9" t="s">
        <v>43</v>
      </c>
      <c r="E262" s="184">
        <v>8380</v>
      </c>
      <c r="F262" s="188">
        <v>6388.74</v>
      </c>
      <c r="G262" s="95">
        <f t="shared" si="43"/>
        <v>0.7623794749403341</v>
      </c>
      <c r="H262" s="183"/>
      <c r="I262" s="182"/>
      <c r="J262" s="150"/>
      <c r="K262" s="185">
        <v>8380</v>
      </c>
      <c r="L262" s="188">
        <v>6388.74</v>
      </c>
      <c r="M262" s="133">
        <f t="shared" si="44"/>
        <v>0.7623794749403341</v>
      </c>
      <c r="N262" s="200"/>
      <c r="O262" s="193"/>
      <c r="P262" s="28"/>
    </row>
    <row r="263" spans="1:16" ht="18.75">
      <c r="A263" s="7"/>
      <c r="B263" s="15"/>
      <c r="C263" s="15">
        <v>4260</v>
      </c>
      <c r="D263" s="9" t="s">
        <v>52</v>
      </c>
      <c r="E263" s="184">
        <v>3620</v>
      </c>
      <c r="F263" s="188">
        <v>1394.08</v>
      </c>
      <c r="G263" s="95">
        <f t="shared" si="43"/>
        <v>0.3851049723756906</v>
      </c>
      <c r="H263" s="183"/>
      <c r="I263" s="182"/>
      <c r="J263" s="150"/>
      <c r="K263" s="185">
        <v>3620</v>
      </c>
      <c r="L263" s="188">
        <v>1394.08</v>
      </c>
      <c r="M263" s="133">
        <f t="shared" si="44"/>
        <v>0.3851049723756906</v>
      </c>
      <c r="N263" s="200"/>
      <c r="O263" s="193"/>
      <c r="P263" s="28"/>
    </row>
    <row r="264" spans="1:16" ht="18.75">
      <c r="A264" s="7"/>
      <c r="B264" s="15"/>
      <c r="C264" s="15">
        <v>4300</v>
      </c>
      <c r="D264" s="9" t="s">
        <v>45</v>
      </c>
      <c r="E264" s="184">
        <v>6500</v>
      </c>
      <c r="F264" s="188">
        <v>5311.24</v>
      </c>
      <c r="G264" s="95">
        <f t="shared" si="43"/>
        <v>0.8171138461538461</v>
      </c>
      <c r="H264" s="183"/>
      <c r="I264" s="182"/>
      <c r="J264" s="150"/>
      <c r="K264" s="185">
        <v>6500</v>
      </c>
      <c r="L264" s="188">
        <v>5311.24</v>
      </c>
      <c r="M264" s="133">
        <f t="shared" si="44"/>
        <v>0.8171138461538461</v>
      </c>
      <c r="N264" s="200"/>
      <c r="O264" s="193"/>
      <c r="P264" s="28"/>
    </row>
    <row r="265" spans="1:16" ht="18.75">
      <c r="A265" s="7"/>
      <c r="B265" s="15"/>
      <c r="C265" s="15">
        <v>4410</v>
      </c>
      <c r="D265" s="9" t="s">
        <v>55</v>
      </c>
      <c r="E265" s="184">
        <v>400</v>
      </c>
      <c r="F265" s="188">
        <v>313.2</v>
      </c>
      <c r="G265" s="95">
        <f t="shared" si="43"/>
        <v>0.7829999999999999</v>
      </c>
      <c r="H265" s="183"/>
      <c r="I265" s="182"/>
      <c r="J265" s="150"/>
      <c r="K265" s="185">
        <v>400</v>
      </c>
      <c r="L265" s="188">
        <v>313.2</v>
      </c>
      <c r="M265" s="133">
        <f t="shared" si="44"/>
        <v>0.7829999999999999</v>
      </c>
      <c r="N265" s="200"/>
      <c r="O265" s="193"/>
      <c r="P265" s="28"/>
    </row>
    <row r="266" spans="1:16" ht="18.75">
      <c r="A266" s="7"/>
      <c r="B266" s="15"/>
      <c r="C266" s="15">
        <v>4440</v>
      </c>
      <c r="D266" s="9" t="s">
        <v>129</v>
      </c>
      <c r="E266" s="184">
        <v>1050</v>
      </c>
      <c r="F266" s="188">
        <v>787.5</v>
      </c>
      <c r="G266" s="95">
        <f t="shared" si="43"/>
        <v>0.75</v>
      </c>
      <c r="H266" s="183"/>
      <c r="I266" s="182"/>
      <c r="J266" s="150"/>
      <c r="K266" s="185">
        <v>1050</v>
      </c>
      <c r="L266" s="188">
        <v>787.5</v>
      </c>
      <c r="M266" s="133">
        <f t="shared" si="44"/>
        <v>0.75</v>
      </c>
      <c r="N266" s="200"/>
      <c r="O266" s="193"/>
      <c r="P266" s="28"/>
    </row>
    <row r="267" spans="1:16" ht="56.25">
      <c r="A267" s="7"/>
      <c r="B267" s="170">
        <v>85213</v>
      </c>
      <c r="C267" s="22"/>
      <c r="D267" s="148" t="s">
        <v>138</v>
      </c>
      <c r="E267" s="189">
        <f>SUM(E268:E268)</f>
        <v>12000</v>
      </c>
      <c r="F267" s="189">
        <f>SUM(F268:F268)</f>
        <v>5309.99</v>
      </c>
      <c r="G267" s="94">
        <f>F267/E267</f>
        <v>0.44249916666666667</v>
      </c>
      <c r="H267" s="189"/>
      <c r="I267" s="189"/>
      <c r="J267" s="132"/>
      <c r="K267" s="204">
        <f>SUM(K268:K268)</f>
        <v>12000</v>
      </c>
      <c r="L267" s="189">
        <f>SUM(L268:L268)</f>
        <v>5309.99</v>
      </c>
      <c r="M267" s="121">
        <f>L267/K267</f>
        <v>0.44249916666666667</v>
      </c>
      <c r="N267" s="208"/>
      <c r="O267" s="189"/>
      <c r="P267" s="23"/>
    </row>
    <row r="268" spans="1:16" ht="18.75">
      <c r="A268" s="15"/>
      <c r="B268" s="15"/>
      <c r="C268" s="15">
        <v>4130</v>
      </c>
      <c r="D268" s="9" t="s">
        <v>93</v>
      </c>
      <c r="E268" s="184">
        <v>12000</v>
      </c>
      <c r="F268" s="188">
        <v>5309.99</v>
      </c>
      <c r="G268" s="95">
        <f aca="true" t="shared" si="45" ref="G268:G286">F268/E268</f>
        <v>0.44249916666666667</v>
      </c>
      <c r="H268" s="188"/>
      <c r="I268" s="193"/>
      <c r="J268" s="119"/>
      <c r="K268" s="200">
        <v>12000</v>
      </c>
      <c r="L268" s="193">
        <v>5309.99</v>
      </c>
      <c r="M268" s="133">
        <f>L268/K268</f>
        <v>0.44249916666666667</v>
      </c>
      <c r="N268" s="200"/>
      <c r="O268" s="193"/>
      <c r="P268" s="28"/>
    </row>
    <row r="269" spans="1:16" ht="37.5">
      <c r="A269" s="25"/>
      <c r="B269" s="170">
        <v>85214</v>
      </c>
      <c r="C269" s="21"/>
      <c r="D269" s="148" t="s">
        <v>125</v>
      </c>
      <c r="E269" s="189">
        <f>SUM(E270:E271)</f>
        <v>347755</v>
      </c>
      <c r="F269" s="189">
        <f>SUM(F270:F271)</f>
        <v>179752.04</v>
      </c>
      <c r="G269" s="78">
        <f>F269/E269</f>
        <v>0.5168927549567943</v>
      </c>
      <c r="H269" s="189">
        <f>SUM(H270:H271)</f>
        <v>302542</v>
      </c>
      <c r="I269" s="189">
        <f>SUM(I270:I271)</f>
        <v>150162.81</v>
      </c>
      <c r="J269" s="92">
        <f aca="true" t="shared" si="46" ref="J269:J275">I269/H269</f>
        <v>0.4963370705554931</v>
      </c>
      <c r="K269" s="216">
        <f>SUM(K270:K270)</f>
        <v>45213</v>
      </c>
      <c r="L269" s="204">
        <f>SUM(L270:L270)</f>
        <v>29589.23</v>
      </c>
      <c r="M269" s="92">
        <f>L269/K269</f>
        <v>0.6544407581890164</v>
      </c>
      <c r="N269" s="222"/>
      <c r="O269" s="223"/>
      <c r="P269" s="91"/>
    </row>
    <row r="270" spans="1:16" ht="18.75">
      <c r="A270" s="7"/>
      <c r="B270" s="15"/>
      <c r="C270" s="15">
        <v>3110</v>
      </c>
      <c r="D270" s="9" t="s">
        <v>67</v>
      </c>
      <c r="E270" s="184">
        <v>343755</v>
      </c>
      <c r="F270" s="188">
        <v>176938.04</v>
      </c>
      <c r="G270" s="95">
        <f>F270/E270</f>
        <v>0.5147213567802651</v>
      </c>
      <c r="H270" s="188">
        <v>298542</v>
      </c>
      <c r="I270" s="193">
        <v>147348.81</v>
      </c>
      <c r="J270" s="119">
        <f t="shared" si="46"/>
        <v>0.4935614084450429</v>
      </c>
      <c r="K270" s="200">
        <v>45213</v>
      </c>
      <c r="L270" s="193">
        <v>29589.23</v>
      </c>
      <c r="M270" s="133">
        <f>L270/K270</f>
        <v>0.6544407581890164</v>
      </c>
      <c r="N270" s="200"/>
      <c r="O270" s="193"/>
      <c r="P270" s="28"/>
    </row>
    <row r="271" spans="1:16" ht="18.75">
      <c r="A271" s="7"/>
      <c r="B271" s="15"/>
      <c r="C271" s="15">
        <v>4300</v>
      </c>
      <c r="D271" s="9" t="s">
        <v>45</v>
      </c>
      <c r="E271" s="184">
        <v>4000</v>
      </c>
      <c r="F271" s="188">
        <v>2814</v>
      </c>
      <c r="G271" s="95">
        <f>F271/E271</f>
        <v>0.7035</v>
      </c>
      <c r="H271" s="188">
        <v>4000</v>
      </c>
      <c r="I271" s="193">
        <v>2814</v>
      </c>
      <c r="J271" s="119">
        <f>I271/H271</f>
        <v>0.7035</v>
      </c>
      <c r="K271" s="200"/>
      <c r="L271" s="193"/>
      <c r="M271" s="120"/>
      <c r="N271" s="200"/>
      <c r="O271" s="193"/>
      <c r="P271" s="28"/>
    </row>
    <row r="272" spans="1:16" ht="18.75">
      <c r="A272" s="7"/>
      <c r="B272" s="22">
        <v>85215</v>
      </c>
      <c r="C272" s="22"/>
      <c r="D272" s="22" t="s">
        <v>7</v>
      </c>
      <c r="E272" s="189">
        <f>SUM(E273:E273)</f>
        <v>140000</v>
      </c>
      <c r="F272" s="189">
        <f>SUM(F273:F273)</f>
        <v>70700.6</v>
      </c>
      <c r="G272" s="94">
        <f t="shared" si="45"/>
        <v>0.5050042857142858</v>
      </c>
      <c r="H272" s="189">
        <f>SUM(H273:H273)</f>
        <v>140000</v>
      </c>
      <c r="I272" s="189">
        <f>SUM(I273:I273)</f>
        <v>70700.6</v>
      </c>
      <c r="J272" s="79">
        <f t="shared" si="46"/>
        <v>0.5050042857142858</v>
      </c>
      <c r="K272" s="201"/>
      <c r="L272" s="196"/>
      <c r="M272" s="126"/>
      <c r="N272" s="201"/>
      <c r="O272" s="196"/>
      <c r="P272" s="127"/>
    </row>
    <row r="273" spans="1:160" s="39" customFormat="1" ht="18.75">
      <c r="A273" s="7"/>
      <c r="B273" s="15"/>
      <c r="C273" s="15">
        <v>3110</v>
      </c>
      <c r="D273" s="9" t="s">
        <v>67</v>
      </c>
      <c r="E273" s="184">
        <v>140000</v>
      </c>
      <c r="F273" s="188">
        <v>70700.6</v>
      </c>
      <c r="G273" s="95">
        <f t="shared" si="45"/>
        <v>0.5050042857142858</v>
      </c>
      <c r="H273" s="188">
        <v>140000</v>
      </c>
      <c r="I273" s="193">
        <v>70700.6</v>
      </c>
      <c r="J273" s="119">
        <f t="shared" si="46"/>
        <v>0.5050042857142858</v>
      </c>
      <c r="K273" s="200"/>
      <c r="L273" s="193"/>
      <c r="M273" s="122"/>
      <c r="N273" s="200"/>
      <c r="O273" s="193"/>
      <c r="P273" s="28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  <c r="ED273" s="35"/>
      <c r="EE273" s="35"/>
      <c r="EF273" s="35"/>
      <c r="EG273" s="35"/>
      <c r="EH273" s="35"/>
      <c r="EI273" s="35"/>
      <c r="EJ273" s="35"/>
      <c r="EK273" s="35"/>
      <c r="EL273" s="35"/>
      <c r="EM273" s="35"/>
      <c r="EN273" s="35"/>
      <c r="EO273" s="35"/>
      <c r="EP273" s="35"/>
      <c r="EQ273" s="35"/>
      <c r="ER273" s="35"/>
      <c r="ES273" s="35"/>
      <c r="ET273" s="35"/>
      <c r="EU273" s="35"/>
      <c r="EV273" s="35"/>
      <c r="EW273" s="35"/>
      <c r="EX273" s="35"/>
      <c r="EY273" s="35"/>
      <c r="EZ273" s="35"/>
      <c r="FA273" s="35"/>
      <c r="FB273" s="35"/>
      <c r="FC273" s="35"/>
      <c r="FD273" s="35"/>
    </row>
    <row r="274" spans="1:16" ht="18.75">
      <c r="A274" s="7"/>
      <c r="B274" s="22">
        <v>85219</v>
      </c>
      <c r="C274" s="22"/>
      <c r="D274" s="22" t="s">
        <v>30</v>
      </c>
      <c r="E274" s="189">
        <f>SUM(E275:E287)</f>
        <v>241460</v>
      </c>
      <c r="F274" s="189">
        <f>SUM(F275:F287)</f>
        <v>141672.5</v>
      </c>
      <c r="G274" s="94">
        <f t="shared" si="45"/>
        <v>0.5867327921808996</v>
      </c>
      <c r="H274" s="189">
        <f>SUM(H275:H287)</f>
        <v>241460</v>
      </c>
      <c r="I274" s="189">
        <f>SUM(I275:I287)</f>
        <v>141672.5</v>
      </c>
      <c r="J274" s="79">
        <f t="shared" si="46"/>
        <v>0.5867327921808996</v>
      </c>
      <c r="K274" s="208"/>
      <c r="L274" s="189"/>
      <c r="M274" s="121"/>
      <c r="N274" s="208"/>
      <c r="O274" s="189"/>
      <c r="P274" s="23"/>
    </row>
    <row r="275" spans="1:16" ht="18.75">
      <c r="A275" s="15"/>
      <c r="B275" s="19"/>
      <c r="C275" s="15">
        <v>3020</v>
      </c>
      <c r="D275" s="9" t="s">
        <v>128</v>
      </c>
      <c r="E275" s="184">
        <v>1500</v>
      </c>
      <c r="F275" s="188">
        <v>305</v>
      </c>
      <c r="G275" s="95">
        <f t="shared" si="45"/>
        <v>0.20333333333333334</v>
      </c>
      <c r="H275" s="184">
        <v>1500</v>
      </c>
      <c r="I275" s="188">
        <v>305</v>
      </c>
      <c r="J275" s="119">
        <f t="shared" si="46"/>
        <v>0.20333333333333334</v>
      </c>
      <c r="K275" s="200"/>
      <c r="L275" s="193"/>
      <c r="M275" s="122"/>
      <c r="N275" s="200"/>
      <c r="O275" s="193"/>
      <c r="P275" s="28"/>
    </row>
    <row r="276" spans="1:16" ht="18.75">
      <c r="A276" s="15"/>
      <c r="B276" s="15"/>
      <c r="C276" s="15">
        <v>4010</v>
      </c>
      <c r="D276" s="9" t="s">
        <v>47</v>
      </c>
      <c r="E276" s="184">
        <v>146960</v>
      </c>
      <c r="F276" s="188">
        <v>70813.87</v>
      </c>
      <c r="G276" s="95">
        <f t="shared" si="45"/>
        <v>0.48185812465977135</v>
      </c>
      <c r="H276" s="184">
        <v>146960</v>
      </c>
      <c r="I276" s="188">
        <v>70813.87</v>
      </c>
      <c r="J276" s="119">
        <f aca="true" t="shared" si="47" ref="J276:J286">I276/H276</f>
        <v>0.48185812465977135</v>
      </c>
      <c r="K276" s="200"/>
      <c r="L276" s="193"/>
      <c r="M276" s="133"/>
      <c r="N276" s="200"/>
      <c r="O276" s="193"/>
      <c r="P276" s="28"/>
    </row>
    <row r="277" spans="1:16" ht="18.75">
      <c r="A277" s="15"/>
      <c r="B277" s="15"/>
      <c r="C277" s="15">
        <v>4040</v>
      </c>
      <c r="D277" s="9" t="s">
        <v>48</v>
      </c>
      <c r="E277" s="184">
        <v>11200</v>
      </c>
      <c r="F277" s="188">
        <v>10865.02</v>
      </c>
      <c r="G277" s="95">
        <f t="shared" si="45"/>
        <v>0.9700910714285714</v>
      </c>
      <c r="H277" s="184">
        <v>11200</v>
      </c>
      <c r="I277" s="188">
        <v>10865.02</v>
      </c>
      <c r="J277" s="119">
        <f t="shared" si="47"/>
        <v>0.9700910714285714</v>
      </c>
      <c r="K277" s="200"/>
      <c r="L277" s="193"/>
      <c r="M277" s="133"/>
      <c r="N277" s="200"/>
      <c r="O277" s="193"/>
      <c r="P277" s="28"/>
    </row>
    <row r="278" spans="1:16" ht="18.75">
      <c r="A278" s="15"/>
      <c r="B278" s="15"/>
      <c r="C278" s="15">
        <v>4110</v>
      </c>
      <c r="D278" s="9" t="s">
        <v>49</v>
      </c>
      <c r="E278" s="184">
        <v>25700</v>
      </c>
      <c r="F278" s="188">
        <v>15049.38</v>
      </c>
      <c r="G278" s="95">
        <f t="shared" si="45"/>
        <v>0.5855789883268482</v>
      </c>
      <c r="H278" s="184">
        <v>25700</v>
      </c>
      <c r="I278" s="188">
        <v>15049.38</v>
      </c>
      <c r="J278" s="119">
        <f t="shared" si="47"/>
        <v>0.5855789883268482</v>
      </c>
      <c r="K278" s="200"/>
      <c r="L278" s="193"/>
      <c r="M278" s="133"/>
      <c r="N278" s="200"/>
      <c r="O278" s="193"/>
      <c r="P278" s="28"/>
    </row>
    <row r="279" spans="1:16" ht="18.75">
      <c r="A279" s="15"/>
      <c r="B279" s="15"/>
      <c r="C279" s="15">
        <v>4120</v>
      </c>
      <c r="D279" s="9" t="s">
        <v>50</v>
      </c>
      <c r="E279" s="184">
        <v>3700</v>
      </c>
      <c r="F279" s="188">
        <v>1818.46</v>
      </c>
      <c r="G279" s="95">
        <f t="shared" si="45"/>
        <v>0.4914756756756757</v>
      </c>
      <c r="H279" s="184">
        <v>3700</v>
      </c>
      <c r="I279" s="188">
        <v>1818.46</v>
      </c>
      <c r="J279" s="119">
        <f t="shared" si="47"/>
        <v>0.4914756756756757</v>
      </c>
      <c r="K279" s="200"/>
      <c r="L279" s="193"/>
      <c r="M279" s="133"/>
      <c r="N279" s="200"/>
      <c r="O279" s="193"/>
      <c r="P279" s="28"/>
    </row>
    <row r="280" spans="1:16" ht="18.75">
      <c r="A280" s="15"/>
      <c r="B280" s="15"/>
      <c r="C280" s="15">
        <v>4210</v>
      </c>
      <c r="D280" s="9" t="s">
        <v>43</v>
      </c>
      <c r="E280" s="184">
        <v>4000</v>
      </c>
      <c r="F280" s="188">
        <v>3165.09</v>
      </c>
      <c r="G280" s="95">
        <f t="shared" si="45"/>
        <v>0.7912725</v>
      </c>
      <c r="H280" s="184">
        <v>4000</v>
      </c>
      <c r="I280" s="188">
        <v>3165.09</v>
      </c>
      <c r="J280" s="119">
        <f t="shared" si="47"/>
        <v>0.7912725</v>
      </c>
      <c r="K280" s="200"/>
      <c r="L280" s="193"/>
      <c r="M280" s="133"/>
      <c r="N280" s="200"/>
      <c r="O280" s="193"/>
      <c r="P280" s="28"/>
    </row>
    <row r="281" spans="1:16" ht="18.75">
      <c r="A281" s="15"/>
      <c r="B281" s="15"/>
      <c r="C281" s="15">
        <v>4260</v>
      </c>
      <c r="D281" s="9" t="s">
        <v>52</v>
      </c>
      <c r="E281" s="184">
        <v>5500</v>
      </c>
      <c r="F281" s="188">
        <v>1836.16</v>
      </c>
      <c r="G281" s="95">
        <f t="shared" si="45"/>
        <v>0.3338472727272727</v>
      </c>
      <c r="H281" s="184">
        <v>5500</v>
      </c>
      <c r="I281" s="188">
        <v>1836.16</v>
      </c>
      <c r="J281" s="119">
        <f t="shared" si="47"/>
        <v>0.3338472727272727</v>
      </c>
      <c r="K281" s="200"/>
      <c r="L281" s="193"/>
      <c r="M281" s="133"/>
      <c r="N281" s="200"/>
      <c r="O281" s="193"/>
      <c r="P281" s="28"/>
    </row>
    <row r="282" spans="1:16" ht="18.75">
      <c r="A282" s="15"/>
      <c r="B282" s="15"/>
      <c r="C282" s="15">
        <v>4270</v>
      </c>
      <c r="D282" s="9" t="s">
        <v>44</v>
      </c>
      <c r="E282" s="184">
        <v>1000</v>
      </c>
      <c r="F282" s="188">
        <v>395.8</v>
      </c>
      <c r="G282" s="95">
        <f t="shared" si="45"/>
        <v>0.3958</v>
      </c>
      <c r="H282" s="184">
        <v>1000</v>
      </c>
      <c r="I282" s="188">
        <v>395.8</v>
      </c>
      <c r="J282" s="119">
        <f t="shared" si="47"/>
        <v>0.3958</v>
      </c>
      <c r="K282" s="200"/>
      <c r="L282" s="193"/>
      <c r="M282" s="122"/>
      <c r="N282" s="200"/>
      <c r="O282" s="193"/>
      <c r="P282" s="28"/>
    </row>
    <row r="283" spans="1:16" ht="18.75">
      <c r="A283" s="15"/>
      <c r="B283" s="15"/>
      <c r="C283" s="15">
        <v>4300</v>
      </c>
      <c r="D283" s="9" t="s">
        <v>45</v>
      </c>
      <c r="E283" s="184">
        <v>10500</v>
      </c>
      <c r="F283" s="188">
        <v>8511.17</v>
      </c>
      <c r="G283" s="95">
        <f t="shared" si="45"/>
        <v>0.810587619047619</v>
      </c>
      <c r="H283" s="184">
        <v>10500</v>
      </c>
      <c r="I283" s="188">
        <v>8511.17</v>
      </c>
      <c r="J283" s="119">
        <f t="shared" si="47"/>
        <v>0.810587619047619</v>
      </c>
      <c r="K283" s="200"/>
      <c r="L283" s="193"/>
      <c r="M283" s="133"/>
      <c r="N283" s="200"/>
      <c r="O283" s="193"/>
      <c r="P283" s="28"/>
    </row>
    <row r="284" spans="1:16" ht="18.75">
      <c r="A284" s="15"/>
      <c r="B284" s="15"/>
      <c r="C284" s="15">
        <v>4350</v>
      </c>
      <c r="D284" s="9" t="s">
        <v>101</v>
      </c>
      <c r="E284" s="184">
        <v>1000</v>
      </c>
      <c r="F284" s="188">
        <v>414.91</v>
      </c>
      <c r="G284" s="95">
        <f t="shared" si="45"/>
        <v>0.41491</v>
      </c>
      <c r="H284" s="184">
        <v>1000</v>
      </c>
      <c r="I284" s="188">
        <v>414.91</v>
      </c>
      <c r="J284" s="119">
        <f t="shared" si="47"/>
        <v>0.41491</v>
      </c>
      <c r="K284" s="200"/>
      <c r="L284" s="193"/>
      <c r="M284" s="120"/>
      <c r="N284" s="200"/>
      <c r="O284" s="193"/>
      <c r="P284" s="28"/>
    </row>
    <row r="285" spans="1:16" ht="18.75">
      <c r="A285" s="15"/>
      <c r="B285" s="15"/>
      <c r="C285" s="15">
        <v>4410</v>
      </c>
      <c r="D285" s="9" t="s">
        <v>55</v>
      </c>
      <c r="E285" s="184">
        <v>600</v>
      </c>
      <c r="F285" s="188">
        <v>44</v>
      </c>
      <c r="G285" s="95">
        <f t="shared" si="45"/>
        <v>0.07333333333333333</v>
      </c>
      <c r="H285" s="184">
        <v>600</v>
      </c>
      <c r="I285" s="188">
        <v>44</v>
      </c>
      <c r="J285" s="119">
        <f t="shared" si="47"/>
        <v>0.07333333333333333</v>
      </c>
      <c r="K285" s="200"/>
      <c r="L285" s="193"/>
      <c r="M285" s="122"/>
      <c r="N285" s="200"/>
      <c r="O285" s="193"/>
      <c r="P285" s="28"/>
    </row>
    <row r="286" spans="1:16" ht="18.75">
      <c r="A286" s="7"/>
      <c r="B286" s="15"/>
      <c r="C286" s="15">
        <v>4440</v>
      </c>
      <c r="D286" s="9" t="s">
        <v>129</v>
      </c>
      <c r="E286" s="184">
        <v>4800</v>
      </c>
      <c r="F286" s="188">
        <v>3600</v>
      </c>
      <c r="G286" s="95">
        <f t="shared" si="45"/>
        <v>0.75</v>
      </c>
      <c r="H286" s="184">
        <v>4800</v>
      </c>
      <c r="I286" s="188">
        <v>3600</v>
      </c>
      <c r="J286" s="119">
        <f t="shared" si="47"/>
        <v>0.75</v>
      </c>
      <c r="K286" s="200"/>
      <c r="L286" s="193"/>
      <c r="M286" s="122"/>
      <c r="N286" s="200"/>
      <c r="O286" s="193"/>
      <c r="P286" s="28"/>
    </row>
    <row r="287" spans="1:16" ht="18.75">
      <c r="A287" s="7"/>
      <c r="B287" s="15"/>
      <c r="C287" s="15">
        <v>6050</v>
      </c>
      <c r="D287" s="9" t="s">
        <v>73</v>
      </c>
      <c r="E287" s="184">
        <v>25000</v>
      </c>
      <c r="F287" s="188">
        <v>24853.64</v>
      </c>
      <c r="G287" s="95">
        <f>F287/E287</f>
        <v>0.9941456</v>
      </c>
      <c r="H287" s="185">
        <v>25000</v>
      </c>
      <c r="I287" s="188">
        <v>24853.64</v>
      </c>
      <c r="J287" s="119">
        <f>I287/H287</f>
        <v>0.9941456</v>
      </c>
      <c r="K287" s="200"/>
      <c r="L287" s="193"/>
      <c r="M287" s="122"/>
      <c r="N287" s="200"/>
      <c r="O287" s="193"/>
      <c r="P287" s="28"/>
    </row>
    <row r="288" spans="1:16" ht="18.75">
      <c r="A288" s="7"/>
      <c r="B288" s="22">
        <v>85295</v>
      </c>
      <c r="C288" s="22"/>
      <c r="D288" s="22" t="s">
        <v>4</v>
      </c>
      <c r="E288" s="189">
        <f>SUM(E289:E289)</f>
        <v>150183</v>
      </c>
      <c r="F288" s="189">
        <f>SUM(F289:F289)</f>
        <v>91863.15</v>
      </c>
      <c r="G288" s="94">
        <f aca="true" t="shared" si="48" ref="G288:G303">F288/E288</f>
        <v>0.611674756796708</v>
      </c>
      <c r="H288" s="187">
        <f>SUM(H289:H289)</f>
        <v>150183</v>
      </c>
      <c r="I288" s="189">
        <f>SUM(I289:I289)</f>
        <v>91863.15</v>
      </c>
      <c r="J288" s="79">
        <f aca="true" t="shared" si="49" ref="J288:J303">I288/H288</f>
        <v>0.611674756796708</v>
      </c>
      <c r="K288" s="208"/>
      <c r="L288" s="189"/>
      <c r="M288" s="126"/>
      <c r="N288" s="201"/>
      <c r="O288" s="196"/>
      <c r="P288" s="127"/>
    </row>
    <row r="289" spans="1:16" ht="19.5" thickBot="1">
      <c r="A289" s="7"/>
      <c r="B289" s="15"/>
      <c r="C289" s="15">
        <v>3110</v>
      </c>
      <c r="D289" s="9" t="s">
        <v>67</v>
      </c>
      <c r="E289" s="184">
        <v>150183</v>
      </c>
      <c r="F289" s="188">
        <v>91863.15</v>
      </c>
      <c r="G289" s="95">
        <f t="shared" si="48"/>
        <v>0.611674756796708</v>
      </c>
      <c r="H289" s="185">
        <v>150183</v>
      </c>
      <c r="I289" s="184">
        <v>91863.15</v>
      </c>
      <c r="J289" s="119">
        <f t="shared" si="49"/>
        <v>0.611674756796708</v>
      </c>
      <c r="K289" s="200"/>
      <c r="L289" s="193"/>
      <c r="M289" s="138"/>
      <c r="N289" s="200"/>
      <c r="O289" s="193"/>
      <c r="P289" s="28"/>
    </row>
    <row r="290" spans="1:16" ht="19.5" thickBot="1">
      <c r="A290" s="11">
        <v>853</v>
      </c>
      <c r="B290" s="12"/>
      <c r="C290" s="12"/>
      <c r="D290" s="165" t="s">
        <v>149</v>
      </c>
      <c r="E290" s="186">
        <f>E291</f>
        <v>14000</v>
      </c>
      <c r="F290" s="192">
        <f>F291</f>
        <v>10859.73</v>
      </c>
      <c r="G290" s="83">
        <f>F290/E290</f>
        <v>0.775695</v>
      </c>
      <c r="H290" s="192">
        <f>H291</f>
        <v>14000</v>
      </c>
      <c r="I290" s="186">
        <f>I291</f>
        <v>10859.73</v>
      </c>
      <c r="J290" s="179">
        <f>I290/H290</f>
        <v>0.775695</v>
      </c>
      <c r="K290" s="217"/>
      <c r="L290" s="218"/>
      <c r="M290" s="135"/>
      <c r="N290" s="217"/>
      <c r="O290" s="218"/>
      <c r="P290" s="178"/>
    </row>
    <row r="291" spans="1:16" ht="18.75">
      <c r="A291" s="7"/>
      <c r="B291" s="15">
        <v>85334</v>
      </c>
      <c r="C291" s="15"/>
      <c r="D291" s="15" t="s">
        <v>150</v>
      </c>
      <c r="E291" s="182">
        <f>SUM(E292:E293)</f>
        <v>14000</v>
      </c>
      <c r="F291" s="183">
        <f>SUM(F292:F293)</f>
        <v>10859.73</v>
      </c>
      <c r="G291" s="113">
        <f>F291/E291</f>
        <v>0.775695</v>
      </c>
      <c r="H291" s="183">
        <f>SUM(H292:H293)</f>
        <v>14000</v>
      </c>
      <c r="I291" s="182">
        <f>SUM(I292:I293)</f>
        <v>10859.73</v>
      </c>
      <c r="J291" s="117">
        <f>I291/H291</f>
        <v>0.775695</v>
      </c>
      <c r="K291" s="197"/>
      <c r="L291" s="182"/>
      <c r="M291" s="118"/>
      <c r="N291" s="197"/>
      <c r="O291" s="182"/>
      <c r="P291" s="26"/>
    </row>
    <row r="292" spans="1:16" ht="18.75">
      <c r="A292" s="7"/>
      <c r="B292" s="15"/>
      <c r="C292" s="15">
        <v>4210</v>
      </c>
      <c r="D292" s="9" t="s">
        <v>43</v>
      </c>
      <c r="E292" s="184">
        <v>11800</v>
      </c>
      <c r="F292" s="188">
        <v>10838.73</v>
      </c>
      <c r="G292" s="95">
        <f>F292/E292</f>
        <v>0.918536440677966</v>
      </c>
      <c r="H292" s="185">
        <v>11800</v>
      </c>
      <c r="I292" s="184">
        <v>10838.73</v>
      </c>
      <c r="J292" s="119">
        <f>I292/H292</f>
        <v>0.918536440677966</v>
      </c>
      <c r="K292" s="200"/>
      <c r="L292" s="193"/>
      <c r="M292" s="138"/>
      <c r="N292" s="200"/>
      <c r="O292" s="193"/>
      <c r="P292" s="28"/>
    </row>
    <row r="293" spans="1:16" ht="19.5" thickBot="1">
      <c r="A293" s="7"/>
      <c r="B293" s="15"/>
      <c r="C293" s="15">
        <v>4300</v>
      </c>
      <c r="D293" s="9" t="s">
        <v>45</v>
      </c>
      <c r="E293" s="184">
        <v>2200</v>
      </c>
      <c r="F293" s="188">
        <v>21</v>
      </c>
      <c r="G293" s="95">
        <f>F293/E293</f>
        <v>0.009545454545454546</v>
      </c>
      <c r="H293" s="185">
        <v>2200</v>
      </c>
      <c r="I293" s="184">
        <v>21</v>
      </c>
      <c r="J293" s="119">
        <f>I293/H293</f>
        <v>0.009545454545454546</v>
      </c>
      <c r="K293" s="200"/>
      <c r="L293" s="193"/>
      <c r="M293" s="138"/>
      <c r="N293" s="200"/>
      <c r="O293" s="193"/>
      <c r="P293" s="28"/>
    </row>
    <row r="294" spans="1:16" ht="19.5" thickBot="1">
      <c r="A294" s="12">
        <v>854</v>
      </c>
      <c r="B294" s="12"/>
      <c r="C294" s="12"/>
      <c r="D294" s="12" t="s">
        <v>41</v>
      </c>
      <c r="E294" s="186">
        <f>E295+E304+E308+E310</f>
        <v>183963</v>
      </c>
      <c r="F294" s="186">
        <f>F295+F304+F308+F310</f>
        <v>85455.82</v>
      </c>
      <c r="G294" s="83">
        <f t="shared" si="48"/>
        <v>0.46452721471165404</v>
      </c>
      <c r="H294" s="186">
        <f>H295+H304+H308+H310</f>
        <v>183963</v>
      </c>
      <c r="I294" s="186">
        <f>I295+I304+I308+I310</f>
        <v>85455.82</v>
      </c>
      <c r="J294" s="84">
        <f t="shared" si="49"/>
        <v>0.46452721471165404</v>
      </c>
      <c r="K294" s="199"/>
      <c r="L294" s="186"/>
      <c r="M294" s="124"/>
      <c r="N294" s="199"/>
      <c r="O294" s="186"/>
      <c r="P294" s="14"/>
    </row>
    <row r="295" spans="1:16" ht="18.75">
      <c r="A295" s="15"/>
      <c r="B295" s="15">
        <v>85401</v>
      </c>
      <c r="C295" s="15"/>
      <c r="D295" s="15" t="s">
        <v>68</v>
      </c>
      <c r="E295" s="182">
        <f>SUM(E296:E303)</f>
        <v>93980</v>
      </c>
      <c r="F295" s="182">
        <f>SUM(F296:F303)</f>
        <v>42238.82</v>
      </c>
      <c r="G295" s="113">
        <f t="shared" si="48"/>
        <v>0.4494447754841456</v>
      </c>
      <c r="H295" s="182">
        <f>SUM(H296:H303)</f>
        <v>93980</v>
      </c>
      <c r="I295" s="182">
        <f>SUM(I296:I303)</f>
        <v>42238.82</v>
      </c>
      <c r="J295" s="125">
        <f t="shared" si="49"/>
        <v>0.4494447754841456</v>
      </c>
      <c r="K295" s="197"/>
      <c r="L295" s="182"/>
      <c r="M295" s="130"/>
      <c r="N295" s="197"/>
      <c r="O295" s="182"/>
      <c r="P295" s="26"/>
    </row>
    <row r="296" spans="1:16" ht="18.75">
      <c r="A296" s="15"/>
      <c r="B296" s="15"/>
      <c r="C296" s="15">
        <v>3020</v>
      </c>
      <c r="D296" s="9" t="s">
        <v>128</v>
      </c>
      <c r="E296" s="184">
        <v>6300</v>
      </c>
      <c r="F296" s="188">
        <v>2492.12</v>
      </c>
      <c r="G296" s="95">
        <f t="shared" si="48"/>
        <v>0.39557460317460313</v>
      </c>
      <c r="H296" s="184">
        <v>6300</v>
      </c>
      <c r="I296" s="188">
        <v>2492.12</v>
      </c>
      <c r="J296" s="119">
        <f t="shared" si="49"/>
        <v>0.39557460317460313</v>
      </c>
      <c r="K296" s="200"/>
      <c r="L296" s="193"/>
      <c r="M296" s="122"/>
      <c r="N296" s="200"/>
      <c r="O296" s="193"/>
      <c r="P296" s="28"/>
    </row>
    <row r="297" spans="1:16" ht="18.75">
      <c r="A297" s="15"/>
      <c r="B297" s="15"/>
      <c r="C297" s="15">
        <v>4010</v>
      </c>
      <c r="D297" s="9" t="s">
        <v>47</v>
      </c>
      <c r="E297" s="184">
        <v>58700</v>
      </c>
      <c r="F297" s="188">
        <v>27657.99</v>
      </c>
      <c r="G297" s="95">
        <f t="shared" si="48"/>
        <v>0.4711752981260648</v>
      </c>
      <c r="H297" s="184">
        <v>58700</v>
      </c>
      <c r="I297" s="188">
        <v>27657.99</v>
      </c>
      <c r="J297" s="119">
        <f t="shared" si="49"/>
        <v>0.4711752981260648</v>
      </c>
      <c r="K297" s="200"/>
      <c r="L297" s="193"/>
      <c r="M297" s="122"/>
      <c r="N297" s="200"/>
      <c r="O297" s="193"/>
      <c r="P297" s="28"/>
    </row>
    <row r="298" spans="1:16" ht="18.75">
      <c r="A298" s="15"/>
      <c r="B298" s="15"/>
      <c r="C298" s="15">
        <v>4040</v>
      </c>
      <c r="D298" s="9" t="s">
        <v>48</v>
      </c>
      <c r="E298" s="184">
        <v>3480</v>
      </c>
      <c r="F298" s="188">
        <v>3393.94</v>
      </c>
      <c r="G298" s="95">
        <f t="shared" si="48"/>
        <v>0.9752701149425288</v>
      </c>
      <c r="H298" s="184">
        <v>3480</v>
      </c>
      <c r="I298" s="188">
        <v>3393.94</v>
      </c>
      <c r="J298" s="119">
        <f t="shared" si="49"/>
        <v>0.9752701149425288</v>
      </c>
      <c r="K298" s="200"/>
      <c r="L298" s="193"/>
      <c r="M298" s="122"/>
      <c r="N298" s="200"/>
      <c r="O298" s="193"/>
      <c r="P298" s="28"/>
    </row>
    <row r="299" spans="1:16" ht="18.75">
      <c r="A299" s="7"/>
      <c r="B299" s="15"/>
      <c r="C299" s="15">
        <v>4110</v>
      </c>
      <c r="D299" s="9" t="s">
        <v>49</v>
      </c>
      <c r="E299" s="184">
        <v>15950</v>
      </c>
      <c r="F299" s="188">
        <v>7627.71</v>
      </c>
      <c r="G299" s="95">
        <f t="shared" si="48"/>
        <v>0.4782263322884013</v>
      </c>
      <c r="H299" s="184">
        <v>15950</v>
      </c>
      <c r="I299" s="188">
        <v>7627.71</v>
      </c>
      <c r="J299" s="119">
        <f t="shared" si="49"/>
        <v>0.4782263322884013</v>
      </c>
      <c r="K299" s="200"/>
      <c r="L299" s="193"/>
      <c r="M299" s="122"/>
      <c r="N299" s="200"/>
      <c r="O299" s="193"/>
      <c r="P299" s="28"/>
    </row>
    <row r="300" spans="1:16" ht="18.75">
      <c r="A300" s="7"/>
      <c r="B300" s="15"/>
      <c r="C300" s="15">
        <v>4120</v>
      </c>
      <c r="D300" s="9" t="s">
        <v>50</v>
      </c>
      <c r="E300" s="184">
        <v>2350</v>
      </c>
      <c r="F300" s="188">
        <v>1067.06</v>
      </c>
      <c r="G300" s="95">
        <f t="shared" si="48"/>
        <v>0.45406808510638297</v>
      </c>
      <c r="H300" s="184">
        <v>2350</v>
      </c>
      <c r="I300" s="188">
        <v>1067.06</v>
      </c>
      <c r="J300" s="119">
        <f t="shared" si="49"/>
        <v>0.45406808510638297</v>
      </c>
      <c r="K300" s="200"/>
      <c r="L300" s="193"/>
      <c r="M300" s="122"/>
      <c r="N300" s="200"/>
      <c r="O300" s="193"/>
      <c r="P300" s="28"/>
    </row>
    <row r="301" spans="1:16" ht="18.75">
      <c r="A301" s="5"/>
      <c r="B301" s="15"/>
      <c r="C301" s="15">
        <v>4210</v>
      </c>
      <c r="D301" s="9" t="s">
        <v>43</v>
      </c>
      <c r="E301" s="184">
        <v>600</v>
      </c>
      <c r="F301" s="188">
        <v>0</v>
      </c>
      <c r="G301" s="95">
        <f t="shared" si="48"/>
        <v>0</v>
      </c>
      <c r="H301" s="184">
        <v>600</v>
      </c>
      <c r="I301" s="188">
        <v>0</v>
      </c>
      <c r="J301" s="119">
        <f t="shared" si="49"/>
        <v>0</v>
      </c>
      <c r="K301" s="200"/>
      <c r="L301" s="193"/>
      <c r="M301" s="122"/>
      <c r="N301" s="200"/>
      <c r="O301" s="193"/>
      <c r="P301" s="28"/>
    </row>
    <row r="302" spans="1:16" ht="18.75">
      <c r="A302" s="15"/>
      <c r="B302" s="15"/>
      <c r="C302" s="15">
        <v>4240</v>
      </c>
      <c r="D302" s="9" t="s">
        <v>135</v>
      </c>
      <c r="E302" s="184">
        <v>600</v>
      </c>
      <c r="F302" s="188">
        <v>0</v>
      </c>
      <c r="G302" s="95">
        <f t="shared" si="48"/>
        <v>0</v>
      </c>
      <c r="H302" s="184">
        <v>600</v>
      </c>
      <c r="I302" s="188">
        <v>0</v>
      </c>
      <c r="J302" s="119">
        <f t="shared" si="49"/>
        <v>0</v>
      </c>
      <c r="K302" s="200"/>
      <c r="L302" s="193"/>
      <c r="M302" s="122"/>
      <c r="N302" s="200"/>
      <c r="O302" s="193"/>
      <c r="P302" s="28"/>
    </row>
    <row r="303" spans="1:16" ht="18.75">
      <c r="A303" s="15"/>
      <c r="B303" s="15"/>
      <c r="C303" s="15">
        <v>4440</v>
      </c>
      <c r="D303" s="9" t="s">
        <v>129</v>
      </c>
      <c r="E303" s="184">
        <v>6000</v>
      </c>
      <c r="F303" s="188">
        <v>0</v>
      </c>
      <c r="G303" s="95">
        <f t="shared" si="48"/>
        <v>0</v>
      </c>
      <c r="H303" s="184">
        <v>6000</v>
      </c>
      <c r="I303" s="188">
        <v>0</v>
      </c>
      <c r="J303" s="119">
        <f t="shared" si="49"/>
        <v>0</v>
      </c>
      <c r="K303" s="200"/>
      <c r="L303" s="193"/>
      <c r="M303" s="122"/>
      <c r="N303" s="200"/>
      <c r="O303" s="193"/>
      <c r="P303" s="28"/>
    </row>
    <row r="304" spans="1:16" ht="18.75">
      <c r="A304" s="15"/>
      <c r="B304" s="22">
        <v>85415</v>
      </c>
      <c r="C304" s="22"/>
      <c r="D304" s="22" t="s">
        <v>80</v>
      </c>
      <c r="E304" s="189">
        <f>SUM(E305:E307)</f>
        <v>86693</v>
      </c>
      <c r="F304" s="189">
        <f>SUM(F305:F307)</f>
        <v>43217</v>
      </c>
      <c r="G304" s="94">
        <f aca="true" t="shared" si="50" ref="G304:G317">F304/E304</f>
        <v>0.49850622310913223</v>
      </c>
      <c r="H304" s="189">
        <f>SUM(H305:H307)</f>
        <v>86693</v>
      </c>
      <c r="I304" s="189">
        <f>SUM(I305:I307)</f>
        <v>43217</v>
      </c>
      <c r="J304" s="79">
        <f aca="true" t="shared" si="51" ref="J304:J317">I304/H304</f>
        <v>0.49850622310913223</v>
      </c>
      <c r="K304" s="208"/>
      <c r="L304" s="189"/>
      <c r="M304" s="121"/>
      <c r="N304" s="208"/>
      <c r="O304" s="189"/>
      <c r="P304" s="23"/>
    </row>
    <row r="305" spans="1:16" ht="18.75">
      <c r="A305" s="15"/>
      <c r="B305" s="15"/>
      <c r="C305" s="45">
        <v>3240</v>
      </c>
      <c r="D305" s="9" t="s">
        <v>96</v>
      </c>
      <c r="E305" s="184">
        <v>62733</v>
      </c>
      <c r="F305" s="188">
        <v>43217</v>
      </c>
      <c r="G305" s="95">
        <f t="shared" si="50"/>
        <v>0.688903766757528</v>
      </c>
      <c r="H305" s="184">
        <v>62733</v>
      </c>
      <c r="I305" s="188">
        <v>43217</v>
      </c>
      <c r="J305" s="119">
        <f t="shared" si="51"/>
        <v>0.688903766757528</v>
      </c>
      <c r="K305" s="198"/>
      <c r="L305" s="184"/>
      <c r="M305" s="131"/>
      <c r="N305" s="198"/>
      <c r="O305" s="184"/>
      <c r="P305" s="10"/>
    </row>
    <row r="306" spans="1:16" ht="18.75">
      <c r="A306" s="15"/>
      <c r="B306" s="15"/>
      <c r="C306" s="45">
        <v>3248</v>
      </c>
      <c r="D306" s="9" t="s">
        <v>96</v>
      </c>
      <c r="E306" s="184">
        <v>16305</v>
      </c>
      <c r="F306" s="188">
        <v>0</v>
      </c>
      <c r="G306" s="95">
        <f aca="true" t="shared" si="52" ref="G306:G311">F306/E306</f>
        <v>0</v>
      </c>
      <c r="H306" s="184">
        <v>16305</v>
      </c>
      <c r="I306" s="188">
        <v>0</v>
      </c>
      <c r="J306" s="119">
        <f aca="true" t="shared" si="53" ref="J306:J311">I306/H306</f>
        <v>0</v>
      </c>
      <c r="K306" s="198"/>
      <c r="L306" s="184"/>
      <c r="M306" s="131"/>
      <c r="N306" s="198"/>
      <c r="O306" s="184"/>
      <c r="P306" s="10"/>
    </row>
    <row r="307" spans="1:16" ht="18.75">
      <c r="A307" s="15"/>
      <c r="B307" s="15"/>
      <c r="C307" s="45">
        <v>3249</v>
      </c>
      <c r="D307" s="9" t="s">
        <v>96</v>
      </c>
      <c r="E307" s="184">
        <v>7655</v>
      </c>
      <c r="F307" s="188">
        <v>0</v>
      </c>
      <c r="G307" s="95">
        <f t="shared" si="52"/>
        <v>0</v>
      </c>
      <c r="H307" s="184">
        <v>7655</v>
      </c>
      <c r="I307" s="188">
        <v>0</v>
      </c>
      <c r="J307" s="119">
        <f t="shared" si="53"/>
        <v>0</v>
      </c>
      <c r="K307" s="198"/>
      <c r="L307" s="184"/>
      <c r="M307" s="131"/>
      <c r="N307" s="198"/>
      <c r="O307" s="184"/>
      <c r="P307" s="10"/>
    </row>
    <row r="308" spans="1:16" ht="18.75">
      <c r="A308" s="15"/>
      <c r="B308" s="22">
        <v>85446</v>
      </c>
      <c r="C308" s="22"/>
      <c r="D308" s="22" t="s">
        <v>65</v>
      </c>
      <c r="E308" s="189">
        <f>SUM(E309:E309)</f>
        <v>560</v>
      </c>
      <c r="F308" s="189">
        <f>SUM(F309:F309)</f>
        <v>0</v>
      </c>
      <c r="G308" s="94">
        <f t="shared" si="52"/>
        <v>0</v>
      </c>
      <c r="H308" s="189">
        <f>SUM(H309:H309)</f>
        <v>560</v>
      </c>
      <c r="I308" s="189">
        <f>SUM(I309:I309)</f>
        <v>0</v>
      </c>
      <c r="J308" s="79">
        <f t="shared" si="53"/>
        <v>0</v>
      </c>
      <c r="K308" s="208"/>
      <c r="L308" s="189"/>
      <c r="M308" s="121"/>
      <c r="N308" s="208"/>
      <c r="O308" s="189"/>
      <c r="P308" s="23"/>
    </row>
    <row r="309" spans="1:16" ht="18.75">
      <c r="A309" s="15"/>
      <c r="B309" s="15"/>
      <c r="C309" s="15">
        <v>4300</v>
      </c>
      <c r="D309" s="9" t="s">
        <v>45</v>
      </c>
      <c r="E309" s="184">
        <v>560</v>
      </c>
      <c r="F309" s="188">
        <f>I309+L309</f>
        <v>0</v>
      </c>
      <c r="G309" s="95">
        <f t="shared" si="52"/>
        <v>0</v>
      </c>
      <c r="H309" s="193">
        <v>560</v>
      </c>
      <c r="I309" s="193">
        <v>0</v>
      </c>
      <c r="J309" s="119">
        <f t="shared" si="53"/>
        <v>0</v>
      </c>
      <c r="K309" s="200"/>
      <c r="L309" s="193"/>
      <c r="M309" s="122"/>
      <c r="N309" s="200"/>
      <c r="O309" s="193"/>
      <c r="P309" s="28"/>
    </row>
    <row r="310" spans="1:16" ht="18.75">
      <c r="A310" s="15"/>
      <c r="B310" s="22">
        <v>85495</v>
      </c>
      <c r="C310" s="22"/>
      <c r="D310" s="22" t="s">
        <v>4</v>
      </c>
      <c r="E310" s="189">
        <f>E311</f>
        <v>2730</v>
      </c>
      <c r="F310" s="187">
        <f>F311</f>
        <v>0</v>
      </c>
      <c r="G310" s="94">
        <f t="shared" si="52"/>
        <v>0</v>
      </c>
      <c r="H310" s="189">
        <f>H311</f>
        <v>2730</v>
      </c>
      <c r="I310" s="189">
        <f>I311</f>
        <v>0</v>
      </c>
      <c r="J310" s="132">
        <f t="shared" si="53"/>
        <v>0</v>
      </c>
      <c r="K310" s="201"/>
      <c r="L310" s="196"/>
      <c r="M310" s="126"/>
      <c r="N310" s="201"/>
      <c r="O310" s="196"/>
      <c r="P310" s="127"/>
    </row>
    <row r="311" spans="1:16" ht="19.5" thickBot="1">
      <c r="A311" s="15"/>
      <c r="B311" s="15"/>
      <c r="C311" s="15">
        <v>4440</v>
      </c>
      <c r="D311" s="9" t="s">
        <v>129</v>
      </c>
      <c r="E311" s="184">
        <v>2730</v>
      </c>
      <c r="F311" s="188">
        <v>0</v>
      </c>
      <c r="G311" s="95">
        <f t="shared" si="52"/>
        <v>0</v>
      </c>
      <c r="H311" s="193">
        <v>2730</v>
      </c>
      <c r="I311" s="193">
        <v>0</v>
      </c>
      <c r="J311" s="119">
        <f t="shared" si="53"/>
        <v>0</v>
      </c>
      <c r="K311" s="200"/>
      <c r="L311" s="193"/>
      <c r="M311" s="122"/>
      <c r="N311" s="200"/>
      <c r="O311" s="193"/>
      <c r="P311" s="28"/>
    </row>
    <row r="312" spans="1:16" ht="19.5" thickBot="1">
      <c r="A312" s="12">
        <v>900</v>
      </c>
      <c r="B312" s="12"/>
      <c r="C312" s="12"/>
      <c r="D312" s="12" t="s">
        <v>69</v>
      </c>
      <c r="E312" s="186">
        <f>E313+E316+E318+E320+E329+E334</f>
        <v>729929</v>
      </c>
      <c r="F312" s="186">
        <f>F313+F316+F318+F320+F329+F334</f>
        <v>460443.93</v>
      </c>
      <c r="G312" s="83">
        <f t="shared" si="50"/>
        <v>0.6308064619983588</v>
      </c>
      <c r="H312" s="186">
        <f>H313+H316+H318+H320+H329+H334</f>
        <v>729929</v>
      </c>
      <c r="I312" s="186">
        <f>I313+I316+I318+I320+I329+I334</f>
        <v>460443.93</v>
      </c>
      <c r="J312" s="84">
        <f t="shared" si="51"/>
        <v>0.6308064619983588</v>
      </c>
      <c r="K312" s="209"/>
      <c r="L312" s="186"/>
      <c r="M312" s="124"/>
      <c r="N312" s="214"/>
      <c r="O312" s="215"/>
      <c r="P312" s="137"/>
    </row>
    <row r="313" spans="1:16" ht="18.75">
      <c r="A313" s="7"/>
      <c r="B313" s="22">
        <v>90002</v>
      </c>
      <c r="C313" s="22"/>
      <c r="D313" s="22" t="s">
        <v>151</v>
      </c>
      <c r="E313" s="187">
        <f>SUM(E314:E315)</f>
        <v>7000</v>
      </c>
      <c r="F313" s="187">
        <f>SUM(F314:F315)</f>
        <v>475.8</v>
      </c>
      <c r="G313" s="94">
        <f t="shared" si="50"/>
        <v>0.06797142857142857</v>
      </c>
      <c r="H313" s="187">
        <f>SUM(H314:H315)</f>
        <v>7000</v>
      </c>
      <c r="I313" s="187">
        <f>SUM(I314:I315)</f>
        <v>475.8</v>
      </c>
      <c r="J313" s="79">
        <f t="shared" si="51"/>
        <v>0.06797142857142857</v>
      </c>
      <c r="K313" s="201"/>
      <c r="L313" s="196"/>
      <c r="M313" s="126"/>
      <c r="N313" s="201"/>
      <c r="O313" s="196"/>
      <c r="P313" s="127"/>
    </row>
    <row r="314" spans="1:16" ht="18.75">
      <c r="A314" s="7"/>
      <c r="B314" s="15"/>
      <c r="C314" s="15">
        <v>4300</v>
      </c>
      <c r="D314" s="9" t="s">
        <v>45</v>
      </c>
      <c r="E314" s="185">
        <v>1000</v>
      </c>
      <c r="F314" s="185">
        <v>475.8</v>
      </c>
      <c r="G314" s="95">
        <f t="shared" si="50"/>
        <v>0.4758</v>
      </c>
      <c r="H314" s="185">
        <v>1000</v>
      </c>
      <c r="I314" s="185">
        <v>475.8</v>
      </c>
      <c r="J314" s="119">
        <f t="shared" si="51"/>
        <v>0.4758</v>
      </c>
      <c r="K314" s="200"/>
      <c r="L314" s="193"/>
      <c r="M314" s="138"/>
      <c r="N314" s="200"/>
      <c r="O314" s="193"/>
      <c r="P314" s="28"/>
    </row>
    <row r="315" spans="1:16" ht="18.75">
      <c r="A315" s="7"/>
      <c r="B315" s="15"/>
      <c r="C315" s="15">
        <v>4430</v>
      </c>
      <c r="D315" s="9" t="s">
        <v>53</v>
      </c>
      <c r="E315" s="193">
        <v>6000</v>
      </c>
      <c r="F315" s="188">
        <v>0</v>
      </c>
      <c r="G315" s="95">
        <f t="shared" si="50"/>
        <v>0</v>
      </c>
      <c r="H315" s="193">
        <v>6000</v>
      </c>
      <c r="I315" s="188">
        <v>0</v>
      </c>
      <c r="J315" s="119">
        <f t="shared" si="51"/>
        <v>0</v>
      </c>
      <c r="K315" s="200"/>
      <c r="L315" s="193"/>
      <c r="M315" s="122"/>
      <c r="N315" s="200"/>
      <c r="O315" s="193"/>
      <c r="P315" s="28"/>
    </row>
    <row r="316" spans="1:16" ht="18.75">
      <c r="A316" s="5"/>
      <c r="B316" s="22">
        <v>90003</v>
      </c>
      <c r="C316" s="22"/>
      <c r="D316" s="22" t="s">
        <v>70</v>
      </c>
      <c r="E316" s="189">
        <f>SUM(E317:E317)</f>
        <v>150000</v>
      </c>
      <c r="F316" s="189">
        <f>SUM(F317:F317)</f>
        <v>67386.2</v>
      </c>
      <c r="G316" s="94">
        <f t="shared" si="50"/>
        <v>0.4492413333333333</v>
      </c>
      <c r="H316" s="189">
        <f>SUM(H317:H317)</f>
        <v>150000</v>
      </c>
      <c r="I316" s="189">
        <f>SUM(I317:I317)</f>
        <v>67386.2</v>
      </c>
      <c r="J316" s="132">
        <f t="shared" si="51"/>
        <v>0.4492413333333333</v>
      </c>
      <c r="K316" s="201"/>
      <c r="L316" s="196"/>
      <c r="M316" s="126"/>
      <c r="N316" s="201"/>
      <c r="O316" s="196"/>
      <c r="P316" s="127"/>
    </row>
    <row r="317" spans="1:16" ht="18.75">
      <c r="A317" s="5"/>
      <c r="B317" s="15"/>
      <c r="C317" s="15">
        <v>4300</v>
      </c>
      <c r="D317" s="9" t="s">
        <v>45</v>
      </c>
      <c r="E317" s="184">
        <v>150000</v>
      </c>
      <c r="F317" s="188">
        <v>67386.2</v>
      </c>
      <c r="G317" s="95">
        <f t="shared" si="50"/>
        <v>0.4492413333333333</v>
      </c>
      <c r="H317" s="188">
        <v>150000</v>
      </c>
      <c r="I317" s="188">
        <v>67386.2</v>
      </c>
      <c r="J317" s="119">
        <f t="shared" si="51"/>
        <v>0.4492413333333333</v>
      </c>
      <c r="K317" s="200"/>
      <c r="L317" s="193"/>
      <c r="M317" s="122"/>
      <c r="N317" s="200"/>
      <c r="O317" s="193"/>
      <c r="P317" s="28"/>
    </row>
    <row r="318" spans="1:16" ht="18.75">
      <c r="A318" s="7"/>
      <c r="B318" s="22">
        <v>90004</v>
      </c>
      <c r="C318" s="22"/>
      <c r="D318" s="22" t="s">
        <v>71</v>
      </c>
      <c r="E318" s="189">
        <f>SUM(E319:E319)</f>
        <v>5200</v>
      </c>
      <c r="F318" s="189">
        <f>SUM(F319:F319)</f>
        <v>3240.9</v>
      </c>
      <c r="G318" s="94">
        <f aca="true" t="shared" si="54" ref="G318:G333">F318/E318</f>
        <v>0.62325</v>
      </c>
      <c r="H318" s="189">
        <f>SUM(H319:H319)</f>
        <v>5200</v>
      </c>
      <c r="I318" s="189">
        <f>SUM(I319:I319)</f>
        <v>3240.9</v>
      </c>
      <c r="J318" s="79">
        <f aca="true" t="shared" si="55" ref="J318:J333">I318/H318</f>
        <v>0.62325</v>
      </c>
      <c r="K318" s="201"/>
      <c r="L318" s="196"/>
      <c r="M318" s="126"/>
      <c r="N318" s="201"/>
      <c r="O318" s="196"/>
      <c r="P318" s="127"/>
    </row>
    <row r="319" spans="1:16" ht="18.75">
      <c r="A319" s="7"/>
      <c r="B319" s="15"/>
      <c r="C319" s="15">
        <v>4210</v>
      </c>
      <c r="D319" s="9" t="s">
        <v>43</v>
      </c>
      <c r="E319" s="193">
        <v>5200</v>
      </c>
      <c r="F319" s="188">
        <v>3240.9</v>
      </c>
      <c r="G319" s="95">
        <f t="shared" si="54"/>
        <v>0.62325</v>
      </c>
      <c r="H319" s="188">
        <v>5200</v>
      </c>
      <c r="I319" s="188">
        <v>3240.9</v>
      </c>
      <c r="J319" s="119">
        <f t="shared" si="55"/>
        <v>0.62325</v>
      </c>
      <c r="K319" s="200"/>
      <c r="L319" s="193"/>
      <c r="M319" s="122"/>
      <c r="N319" s="200"/>
      <c r="O319" s="193"/>
      <c r="P319" s="28"/>
    </row>
    <row r="320" spans="1:16" ht="18.75">
      <c r="A320" s="7"/>
      <c r="B320" s="22">
        <v>90013</v>
      </c>
      <c r="C320" s="22"/>
      <c r="D320" s="22" t="s">
        <v>72</v>
      </c>
      <c r="E320" s="189">
        <f>SUM(E321:E328)</f>
        <v>268729</v>
      </c>
      <c r="F320" s="189">
        <f>SUM(F321:F328)</f>
        <v>197704.03</v>
      </c>
      <c r="G320" s="94">
        <f t="shared" si="54"/>
        <v>0.7357003896118395</v>
      </c>
      <c r="H320" s="189">
        <f>SUM(H321:H328)</f>
        <v>268729</v>
      </c>
      <c r="I320" s="189">
        <f>SUM(I321:I328)</f>
        <v>197704.03</v>
      </c>
      <c r="J320" s="79">
        <f t="shared" si="55"/>
        <v>0.7357003896118395</v>
      </c>
      <c r="K320" s="201"/>
      <c r="L320" s="196"/>
      <c r="M320" s="126"/>
      <c r="N320" s="201"/>
      <c r="O320" s="196"/>
      <c r="P320" s="127"/>
    </row>
    <row r="321" spans="1:16" ht="18.75">
      <c r="A321" s="7"/>
      <c r="B321" s="15"/>
      <c r="C321" s="15">
        <v>3020</v>
      </c>
      <c r="D321" s="15" t="s">
        <v>128</v>
      </c>
      <c r="E321" s="184">
        <v>6000</v>
      </c>
      <c r="F321" s="185">
        <v>5057.5</v>
      </c>
      <c r="G321" s="95">
        <f>F321/E321</f>
        <v>0.8429166666666666</v>
      </c>
      <c r="H321" s="184">
        <v>6000</v>
      </c>
      <c r="I321" s="185">
        <v>5057.5</v>
      </c>
      <c r="J321" s="119">
        <f>I321/H321</f>
        <v>0.8429166666666666</v>
      </c>
      <c r="K321" s="200"/>
      <c r="L321" s="193"/>
      <c r="M321" s="138"/>
      <c r="N321" s="200"/>
      <c r="O321" s="193"/>
      <c r="P321" s="28"/>
    </row>
    <row r="322" spans="1:16" ht="18.75">
      <c r="A322" s="7"/>
      <c r="B322" s="15"/>
      <c r="C322" s="15">
        <v>4010</v>
      </c>
      <c r="D322" s="9" t="s">
        <v>47</v>
      </c>
      <c r="E322" s="184">
        <v>89570</v>
      </c>
      <c r="F322" s="185">
        <v>58734.25</v>
      </c>
      <c r="G322" s="95">
        <f t="shared" si="54"/>
        <v>0.6557357374120799</v>
      </c>
      <c r="H322" s="184">
        <v>89570</v>
      </c>
      <c r="I322" s="185">
        <v>58734.25</v>
      </c>
      <c r="J322" s="119">
        <f t="shared" si="55"/>
        <v>0.6557357374120799</v>
      </c>
      <c r="K322" s="200"/>
      <c r="L322" s="193"/>
      <c r="M322" s="138"/>
      <c r="N322" s="200"/>
      <c r="O322" s="193"/>
      <c r="P322" s="28"/>
    </row>
    <row r="323" spans="1:16" ht="18.75">
      <c r="A323" s="7"/>
      <c r="B323" s="15"/>
      <c r="C323" s="15">
        <v>4040</v>
      </c>
      <c r="D323" s="9" t="s">
        <v>48</v>
      </c>
      <c r="E323" s="184">
        <v>7030</v>
      </c>
      <c r="F323" s="185">
        <v>6965.14</v>
      </c>
      <c r="G323" s="95">
        <f>F323/E323</f>
        <v>0.990773826458037</v>
      </c>
      <c r="H323" s="184">
        <v>7030</v>
      </c>
      <c r="I323" s="185">
        <v>6965.14</v>
      </c>
      <c r="J323" s="119">
        <f>I323/H323</f>
        <v>0.990773826458037</v>
      </c>
      <c r="K323" s="200"/>
      <c r="L323" s="193"/>
      <c r="M323" s="138"/>
      <c r="N323" s="200"/>
      <c r="O323" s="193"/>
      <c r="P323" s="28"/>
    </row>
    <row r="324" spans="1:16" ht="18.75">
      <c r="A324" s="7"/>
      <c r="B324" s="15"/>
      <c r="C324" s="15">
        <v>4110</v>
      </c>
      <c r="D324" s="9" t="s">
        <v>49</v>
      </c>
      <c r="E324" s="184">
        <v>19100</v>
      </c>
      <c r="F324" s="185">
        <v>11952.91</v>
      </c>
      <c r="G324" s="95">
        <f t="shared" si="54"/>
        <v>0.6258068062827226</v>
      </c>
      <c r="H324" s="184">
        <v>19100</v>
      </c>
      <c r="I324" s="185">
        <v>11952.91</v>
      </c>
      <c r="J324" s="119">
        <f t="shared" si="55"/>
        <v>0.6258068062827226</v>
      </c>
      <c r="K324" s="200"/>
      <c r="L324" s="193"/>
      <c r="M324" s="138"/>
      <c r="N324" s="200"/>
      <c r="O324" s="193"/>
      <c r="P324" s="28"/>
    </row>
    <row r="325" spans="1:16" ht="18.75">
      <c r="A325" s="7"/>
      <c r="B325" s="15"/>
      <c r="C325" s="15">
        <v>4120</v>
      </c>
      <c r="D325" s="9" t="s">
        <v>50</v>
      </c>
      <c r="E325" s="184">
        <v>5300</v>
      </c>
      <c r="F325" s="185">
        <v>1688.7</v>
      </c>
      <c r="G325" s="95">
        <f t="shared" si="54"/>
        <v>0.318622641509434</v>
      </c>
      <c r="H325" s="184">
        <v>5300</v>
      </c>
      <c r="I325" s="185">
        <v>1688.7</v>
      </c>
      <c r="J325" s="119">
        <f t="shared" si="55"/>
        <v>0.318622641509434</v>
      </c>
      <c r="K325" s="200"/>
      <c r="L325" s="193"/>
      <c r="M325" s="138"/>
      <c r="N325" s="200"/>
      <c r="O325" s="193"/>
      <c r="P325" s="28"/>
    </row>
    <row r="326" spans="1:16" ht="18.75">
      <c r="A326" s="7"/>
      <c r="B326" s="15"/>
      <c r="C326" s="15">
        <v>4140</v>
      </c>
      <c r="D326" s="9" t="s">
        <v>51</v>
      </c>
      <c r="E326" s="184">
        <v>5000</v>
      </c>
      <c r="F326" s="185">
        <v>1597.45</v>
      </c>
      <c r="G326" s="95">
        <f>F326/E326</f>
        <v>0.31949</v>
      </c>
      <c r="H326" s="184">
        <v>5000</v>
      </c>
      <c r="I326" s="185">
        <v>1597.45</v>
      </c>
      <c r="J326" s="119">
        <f>I326/H326</f>
        <v>0.31949</v>
      </c>
      <c r="K326" s="200"/>
      <c r="L326" s="193"/>
      <c r="M326" s="138"/>
      <c r="N326" s="200"/>
      <c r="O326" s="193"/>
      <c r="P326" s="28"/>
    </row>
    <row r="327" spans="1:16" ht="18.75">
      <c r="A327" s="7"/>
      <c r="B327" s="15"/>
      <c r="C327" s="15">
        <v>4170</v>
      </c>
      <c r="D327" s="9" t="s">
        <v>94</v>
      </c>
      <c r="E327" s="184">
        <v>12500</v>
      </c>
      <c r="F327" s="185">
        <v>12500</v>
      </c>
      <c r="G327" s="95">
        <f>F327/E327</f>
        <v>1</v>
      </c>
      <c r="H327" s="184">
        <v>12500</v>
      </c>
      <c r="I327" s="185">
        <v>12500</v>
      </c>
      <c r="J327" s="119">
        <f>I327/H327</f>
        <v>1</v>
      </c>
      <c r="K327" s="200"/>
      <c r="L327" s="193"/>
      <c r="M327" s="138"/>
      <c r="N327" s="200"/>
      <c r="O327" s="193"/>
      <c r="P327" s="28"/>
    </row>
    <row r="328" spans="1:16" ht="18.75">
      <c r="A328" s="7"/>
      <c r="B328" s="15"/>
      <c r="C328" s="15">
        <v>6050</v>
      </c>
      <c r="D328" s="9" t="s">
        <v>73</v>
      </c>
      <c r="E328" s="193">
        <v>124229</v>
      </c>
      <c r="F328" s="185">
        <v>99208.08</v>
      </c>
      <c r="G328" s="95">
        <f t="shared" si="54"/>
        <v>0.7985903452494989</v>
      </c>
      <c r="H328" s="193">
        <v>124229</v>
      </c>
      <c r="I328" s="185">
        <v>99208.08</v>
      </c>
      <c r="J328" s="119">
        <f t="shared" si="55"/>
        <v>0.7985903452494989</v>
      </c>
      <c r="K328" s="200"/>
      <c r="L328" s="193"/>
      <c r="M328" s="122"/>
      <c r="N328" s="200"/>
      <c r="O328" s="193"/>
      <c r="P328" s="28"/>
    </row>
    <row r="329" spans="1:16" ht="18.75">
      <c r="A329" s="7"/>
      <c r="B329" s="22">
        <v>90015</v>
      </c>
      <c r="C329" s="22"/>
      <c r="D329" s="22" t="s">
        <v>31</v>
      </c>
      <c r="E329" s="189">
        <f>SUM(E330:E333)</f>
        <v>182300</v>
      </c>
      <c r="F329" s="189">
        <f>SUM(F330:F333)</f>
        <v>91647.99</v>
      </c>
      <c r="G329" s="94">
        <f t="shared" si="54"/>
        <v>0.5027317059791553</v>
      </c>
      <c r="H329" s="189">
        <f>SUM(H330:H333)</f>
        <v>182300</v>
      </c>
      <c r="I329" s="189">
        <f>SUM(I330:I333)</f>
        <v>91647.99</v>
      </c>
      <c r="J329" s="79">
        <f t="shared" si="55"/>
        <v>0.5027317059791553</v>
      </c>
      <c r="K329" s="208"/>
      <c r="L329" s="189"/>
      <c r="M329" s="121"/>
      <c r="N329" s="201"/>
      <c r="O329" s="196"/>
      <c r="P329" s="127"/>
    </row>
    <row r="330" spans="1:16" ht="18.75">
      <c r="A330" s="7"/>
      <c r="B330" s="15"/>
      <c r="C330" s="15">
        <v>4260</v>
      </c>
      <c r="D330" s="9" t="s">
        <v>52</v>
      </c>
      <c r="E330" s="184">
        <v>150000</v>
      </c>
      <c r="F330" s="188">
        <v>67293.46</v>
      </c>
      <c r="G330" s="95">
        <f t="shared" si="54"/>
        <v>0.44862306666666674</v>
      </c>
      <c r="H330" s="184">
        <v>150000</v>
      </c>
      <c r="I330" s="188">
        <v>67293.46</v>
      </c>
      <c r="J330" s="119">
        <f t="shared" si="55"/>
        <v>0.44862306666666674</v>
      </c>
      <c r="K330" s="200"/>
      <c r="L330" s="193"/>
      <c r="M330" s="122"/>
      <c r="N330" s="200"/>
      <c r="O330" s="193"/>
      <c r="P330" s="28"/>
    </row>
    <row r="331" spans="1:16" ht="18.75">
      <c r="A331" s="7"/>
      <c r="B331" s="15"/>
      <c r="C331" s="15">
        <v>4270</v>
      </c>
      <c r="D331" s="9" t="s">
        <v>44</v>
      </c>
      <c r="E331" s="184">
        <v>4000</v>
      </c>
      <c r="F331" s="188">
        <v>114.53</v>
      </c>
      <c r="G331" s="95">
        <f t="shared" si="54"/>
        <v>0.0286325</v>
      </c>
      <c r="H331" s="184">
        <v>4000</v>
      </c>
      <c r="I331" s="188">
        <v>114.53</v>
      </c>
      <c r="J331" s="119">
        <f t="shared" si="55"/>
        <v>0.0286325</v>
      </c>
      <c r="K331" s="200"/>
      <c r="L331" s="193"/>
      <c r="M331" s="133"/>
      <c r="N331" s="200"/>
      <c r="O331" s="193"/>
      <c r="P331" s="28"/>
    </row>
    <row r="332" spans="1:16" ht="18.75">
      <c r="A332" s="7"/>
      <c r="B332" s="15"/>
      <c r="C332" s="15">
        <v>4580</v>
      </c>
      <c r="D332" s="9" t="s">
        <v>24</v>
      </c>
      <c r="E332" s="184">
        <v>4000</v>
      </c>
      <c r="F332" s="188">
        <v>0</v>
      </c>
      <c r="G332" s="95">
        <f t="shared" si="54"/>
        <v>0</v>
      </c>
      <c r="H332" s="184">
        <v>4000</v>
      </c>
      <c r="I332" s="188">
        <v>0</v>
      </c>
      <c r="J332" s="119">
        <f t="shared" si="55"/>
        <v>0</v>
      </c>
      <c r="K332" s="200"/>
      <c r="L332" s="193"/>
      <c r="M332" s="133"/>
      <c r="N332" s="200"/>
      <c r="O332" s="193"/>
      <c r="P332" s="28"/>
    </row>
    <row r="333" spans="1:16" ht="18.75">
      <c r="A333" s="7"/>
      <c r="B333" s="15"/>
      <c r="C333" s="15">
        <v>6050</v>
      </c>
      <c r="D333" s="9" t="s">
        <v>73</v>
      </c>
      <c r="E333" s="184">
        <v>24300</v>
      </c>
      <c r="F333" s="188">
        <v>24240</v>
      </c>
      <c r="G333" s="95">
        <f t="shared" si="54"/>
        <v>0.9975308641975309</v>
      </c>
      <c r="H333" s="184">
        <v>24300</v>
      </c>
      <c r="I333" s="188">
        <v>24240</v>
      </c>
      <c r="J333" s="123">
        <f t="shared" si="55"/>
        <v>0.9975308641975309</v>
      </c>
      <c r="K333" s="200"/>
      <c r="L333" s="193"/>
      <c r="M333" s="122"/>
      <c r="N333" s="200"/>
      <c r="O333" s="193"/>
      <c r="P333" s="28"/>
    </row>
    <row r="334" spans="1:16" ht="18.75">
      <c r="A334" s="7"/>
      <c r="B334" s="22">
        <v>90095</v>
      </c>
      <c r="C334" s="22"/>
      <c r="D334" s="22" t="s">
        <v>4</v>
      </c>
      <c r="E334" s="189">
        <f>SUM(E335:E336)</f>
        <v>116700</v>
      </c>
      <c r="F334" s="189">
        <f>SUM(F335:F336)</f>
        <v>99989.01</v>
      </c>
      <c r="G334" s="94">
        <f>F334/E334</f>
        <v>0.8568038560411311</v>
      </c>
      <c r="H334" s="189">
        <f>SUM(H335:H336)</f>
        <v>116700</v>
      </c>
      <c r="I334" s="189">
        <f>SUM(I335:I336)</f>
        <v>99989.01</v>
      </c>
      <c r="J334" s="79">
        <f>I334/H334</f>
        <v>0.8568038560411311</v>
      </c>
      <c r="K334" s="201"/>
      <c r="L334" s="196"/>
      <c r="M334" s="126"/>
      <c r="N334" s="201"/>
      <c r="O334" s="196"/>
      <c r="P334" s="127"/>
    </row>
    <row r="335" spans="1:16" ht="18.75">
      <c r="A335" s="7"/>
      <c r="B335" s="15"/>
      <c r="C335" s="15">
        <v>4300</v>
      </c>
      <c r="D335" s="9" t="s">
        <v>45</v>
      </c>
      <c r="E335" s="193">
        <v>5000</v>
      </c>
      <c r="F335" s="188">
        <v>0</v>
      </c>
      <c r="G335" s="95">
        <f>F335/E335</f>
        <v>0</v>
      </c>
      <c r="H335" s="193">
        <v>5000</v>
      </c>
      <c r="I335" s="188">
        <v>0</v>
      </c>
      <c r="J335" s="119">
        <f>I335/H335</f>
        <v>0</v>
      </c>
      <c r="K335" s="200"/>
      <c r="L335" s="193"/>
      <c r="M335" s="122"/>
      <c r="N335" s="200"/>
      <c r="O335" s="193"/>
      <c r="P335" s="28"/>
    </row>
    <row r="336" spans="1:16" ht="19.5" thickBot="1">
      <c r="A336" s="7"/>
      <c r="B336" s="15"/>
      <c r="C336" s="15">
        <v>6050</v>
      </c>
      <c r="D336" s="9" t="s">
        <v>73</v>
      </c>
      <c r="E336" s="193">
        <v>111700</v>
      </c>
      <c r="F336" s="188">
        <v>99989.01</v>
      </c>
      <c r="G336" s="95">
        <f>F336/E336</f>
        <v>0.8951567591763652</v>
      </c>
      <c r="H336" s="193">
        <v>111700</v>
      </c>
      <c r="I336" s="188">
        <v>99989.01</v>
      </c>
      <c r="J336" s="119">
        <f>I336/H336</f>
        <v>0.8951567591763652</v>
      </c>
      <c r="K336" s="200"/>
      <c r="L336" s="193"/>
      <c r="M336" s="122"/>
      <c r="N336" s="200"/>
      <c r="O336" s="193"/>
      <c r="P336" s="28"/>
    </row>
    <row r="337" spans="1:16" ht="19.5" thickBot="1">
      <c r="A337" s="12">
        <v>921</v>
      </c>
      <c r="B337" s="12"/>
      <c r="C337" s="12"/>
      <c r="D337" s="12" t="s">
        <v>79</v>
      </c>
      <c r="E337" s="186">
        <f>E338</f>
        <v>144600</v>
      </c>
      <c r="F337" s="186">
        <f>F338</f>
        <v>78800</v>
      </c>
      <c r="G337" s="83">
        <f>F337/E337</f>
        <v>0.5449515905947441</v>
      </c>
      <c r="H337" s="186">
        <f>H338</f>
        <v>144600</v>
      </c>
      <c r="I337" s="186">
        <f>I338</f>
        <v>78800</v>
      </c>
      <c r="J337" s="84">
        <f>I337/H337</f>
        <v>0.5449515905947441</v>
      </c>
      <c r="K337" s="199"/>
      <c r="L337" s="186"/>
      <c r="M337" s="124"/>
      <c r="N337" s="199"/>
      <c r="O337" s="186"/>
      <c r="P337" s="146"/>
    </row>
    <row r="338" spans="1:16" ht="18.75">
      <c r="A338" s="7"/>
      <c r="B338" s="15">
        <v>92116</v>
      </c>
      <c r="C338" s="15"/>
      <c r="D338" s="15" t="s">
        <v>74</v>
      </c>
      <c r="E338" s="183">
        <f>SUM(E339:E339)</f>
        <v>144600</v>
      </c>
      <c r="F338" s="183">
        <f>SUM(F339:F339)</f>
        <v>78800</v>
      </c>
      <c r="G338" s="113">
        <f>F338/E338</f>
        <v>0.5449515905947441</v>
      </c>
      <c r="H338" s="183">
        <f>SUM(H339:H339)</f>
        <v>144600</v>
      </c>
      <c r="I338" s="183">
        <f>SUM(I339:I339)</f>
        <v>78800</v>
      </c>
      <c r="J338" s="125">
        <f>I338/H338</f>
        <v>0.5449515905947441</v>
      </c>
      <c r="K338" s="197"/>
      <c r="L338" s="182"/>
      <c r="M338" s="130"/>
      <c r="N338" s="206"/>
      <c r="O338" s="183"/>
      <c r="P338" s="224"/>
    </row>
    <row r="339" spans="1:16" ht="38.25" thickBot="1">
      <c r="A339" s="7"/>
      <c r="B339" s="15"/>
      <c r="C339" s="168">
        <v>2480</v>
      </c>
      <c r="D339" s="147" t="s">
        <v>139</v>
      </c>
      <c r="E339" s="193">
        <v>144600</v>
      </c>
      <c r="F339" s="188">
        <v>78800</v>
      </c>
      <c r="G339" s="95">
        <f aca="true" t="shared" si="56" ref="G339:G353">F339/E339</f>
        <v>0.5449515905947441</v>
      </c>
      <c r="H339" s="193">
        <v>144600</v>
      </c>
      <c r="I339" s="188">
        <v>78800</v>
      </c>
      <c r="J339" s="119">
        <f aca="true" t="shared" si="57" ref="J339:J354">I339/H339</f>
        <v>0.5449515905947441</v>
      </c>
      <c r="K339" s="200"/>
      <c r="L339" s="193"/>
      <c r="M339" s="122"/>
      <c r="N339" s="200"/>
      <c r="O339" s="193"/>
      <c r="P339" s="225"/>
    </row>
    <row r="340" spans="1:16" ht="19.5" thickBot="1">
      <c r="A340" s="11">
        <v>926</v>
      </c>
      <c r="B340" s="12"/>
      <c r="C340" s="12"/>
      <c r="D340" s="12" t="s">
        <v>75</v>
      </c>
      <c r="E340" s="186">
        <f>E341</f>
        <v>152100</v>
      </c>
      <c r="F340" s="186">
        <f>F341</f>
        <v>103179.49</v>
      </c>
      <c r="G340" s="83">
        <f t="shared" si="56"/>
        <v>0.6783661406969099</v>
      </c>
      <c r="H340" s="186">
        <f>H341</f>
        <v>152100</v>
      </c>
      <c r="I340" s="186">
        <f>I341</f>
        <v>103179.49</v>
      </c>
      <c r="J340" s="84">
        <f t="shared" si="57"/>
        <v>0.6783661406969099</v>
      </c>
      <c r="K340" s="202"/>
      <c r="L340" s="203"/>
      <c r="M340" s="128"/>
      <c r="N340" s="202"/>
      <c r="O340" s="203"/>
      <c r="P340" s="129"/>
    </row>
    <row r="341" spans="1:16" ht="18.75">
      <c r="A341" s="7"/>
      <c r="B341" s="22">
        <v>92695</v>
      </c>
      <c r="C341" s="22"/>
      <c r="D341" s="22" t="s">
        <v>4</v>
      </c>
      <c r="E341" s="187">
        <f>SUM(E342:E353)</f>
        <v>152100</v>
      </c>
      <c r="F341" s="187">
        <f>SUM(F342:F353)</f>
        <v>103179.49</v>
      </c>
      <c r="G341" s="94">
        <f t="shared" si="56"/>
        <v>0.6783661406969099</v>
      </c>
      <c r="H341" s="187">
        <f>SUM(H342:H353)</f>
        <v>152100</v>
      </c>
      <c r="I341" s="187">
        <f>SUM(I342:I353)</f>
        <v>103179.49</v>
      </c>
      <c r="J341" s="79">
        <f t="shared" si="57"/>
        <v>0.6783661406969099</v>
      </c>
      <c r="K341" s="201"/>
      <c r="L341" s="196"/>
      <c r="M341" s="126"/>
      <c r="N341" s="201"/>
      <c r="O341" s="196"/>
      <c r="P341" s="127"/>
    </row>
    <row r="342" spans="1:16" ht="18.75">
      <c r="A342" s="7"/>
      <c r="B342" s="15"/>
      <c r="C342" s="15">
        <v>4010</v>
      </c>
      <c r="D342" s="9" t="s">
        <v>47</v>
      </c>
      <c r="E342" s="193">
        <v>35550</v>
      </c>
      <c r="F342" s="188">
        <v>20152.36</v>
      </c>
      <c r="G342" s="95">
        <f t="shared" si="56"/>
        <v>0.5668736990154711</v>
      </c>
      <c r="H342" s="193">
        <v>35550</v>
      </c>
      <c r="I342" s="188">
        <v>20152.36</v>
      </c>
      <c r="J342" s="119">
        <f t="shared" si="57"/>
        <v>0.5668736990154711</v>
      </c>
      <c r="K342" s="200"/>
      <c r="L342" s="193"/>
      <c r="M342" s="122"/>
      <c r="N342" s="200"/>
      <c r="O342" s="193"/>
      <c r="P342" s="28"/>
    </row>
    <row r="343" spans="1:16" ht="18.75">
      <c r="A343" s="7"/>
      <c r="B343" s="15"/>
      <c r="C343" s="15">
        <v>4040</v>
      </c>
      <c r="D343" s="9" t="s">
        <v>48</v>
      </c>
      <c r="E343" s="193">
        <v>3250</v>
      </c>
      <c r="F343" s="188">
        <v>3248.49</v>
      </c>
      <c r="G343" s="95">
        <f t="shared" si="56"/>
        <v>0.9995353846153846</v>
      </c>
      <c r="H343" s="193">
        <v>3250</v>
      </c>
      <c r="I343" s="188">
        <v>3248.49</v>
      </c>
      <c r="J343" s="119">
        <f t="shared" si="57"/>
        <v>0.9995353846153846</v>
      </c>
      <c r="K343" s="200"/>
      <c r="L343" s="193"/>
      <c r="M343" s="122"/>
      <c r="N343" s="200"/>
      <c r="O343" s="193"/>
      <c r="P343" s="28"/>
    </row>
    <row r="344" spans="1:16" ht="18.75">
      <c r="A344" s="7"/>
      <c r="B344" s="15"/>
      <c r="C344" s="15">
        <v>4110</v>
      </c>
      <c r="D344" s="9" t="s">
        <v>49</v>
      </c>
      <c r="E344" s="193">
        <v>7600</v>
      </c>
      <c r="F344" s="188">
        <v>4374.81</v>
      </c>
      <c r="G344" s="95">
        <f t="shared" si="56"/>
        <v>0.5756328947368422</v>
      </c>
      <c r="H344" s="193">
        <v>7600</v>
      </c>
      <c r="I344" s="188">
        <v>4374.81</v>
      </c>
      <c r="J344" s="119">
        <f t="shared" si="57"/>
        <v>0.5756328947368422</v>
      </c>
      <c r="K344" s="200"/>
      <c r="L344" s="193"/>
      <c r="M344" s="122"/>
      <c r="N344" s="200"/>
      <c r="O344" s="193"/>
      <c r="P344" s="28"/>
    </row>
    <row r="345" spans="1:16" ht="18.75">
      <c r="A345" s="7"/>
      <c r="B345" s="15"/>
      <c r="C345" s="15">
        <v>4120</v>
      </c>
      <c r="D345" s="9" t="s">
        <v>50</v>
      </c>
      <c r="E345" s="193">
        <v>1000</v>
      </c>
      <c r="F345" s="188">
        <v>622.51</v>
      </c>
      <c r="G345" s="95">
        <f t="shared" si="56"/>
        <v>0.62251</v>
      </c>
      <c r="H345" s="193">
        <v>1000</v>
      </c>
      <c r="I345" s="188">
        <v>622.51</v>
      </c>
      <c r="J345" s="119">
        <f t="shared" si="57"/>
        <v>0.62251</v>
      </c>
      <c r="K345" s="200"/>
      <c r="L345" s="193"/>
      <c r="M345" s="122"/>
      <c r="N345" s="200"/>
      <c r="O345" s="193"/>
      <c r="P345" s="28"/>
    </row>
    <row r="346" spans="1:16" ht="18.75">
      <c r="A346" s="7"/>
      <c r="B346" s="15"/>
      <c r="C346" s="15">
        <v>4140</v>
      </c>
      <c r="D346" s="9" t="s">
        <v>51</v>
      </c>
      <c r="E346" s="184">
        <v>900</v>
      </c>
      <c r="F346" s="188">
        <v>456.62</v>
      </c>
      <c r="G346" s="95">
        <f t="shared" si="56"/>
        <v>0.5073555555555556</v>
      </c>
      <c r="H346" s="184">
        <v>900</v>
      </c>
      <c r="I346" s="188">
        <v>456.62</v>
      </c>
      <c r="J346" s="119">
        <f t="shared" si="57"/>
        <v>0.5073555555555556</v>
      </c>
      <c r="K346" s="200"/>
      <c r="L346" s="193"/>
      <c r="M346" s="133"/>
      <c r="N346" s="200"/>
      <c r="O346" s="193"/>
      <c r="P346" s="28"/>
    </row>
    <row r="347" spans="1:16" ht="18.75">
      <c r="A347" s="7"/>
      <c r="B347" s="15"/>
      <c r="C347" s="15">
        <v>4170</v>
      </c>
      <c r="D347" s="9" t="s">
        <v>94</v>
      </c>
      <c r="E347" s="184">
        <v>5000</v>
      </c>
      <c r="F347" s="188">
        <v>3708.6</v>
      </c>
      <c r="G347" s="95">
        <f t="shared" si="56"/>
        <v>0.7417199999999999</v>
      </c>
      <c r="H347" s="184">
        <v>5000</v>
      </c>
      <c r="I347" s="188">
        <v>3708.6</v>
      </c>
      <c r="J347" s="119">
        <f t="shared" si="57"/>
        <v>0.7417199999999999</v>
      </c>
      <c r="K347" s="200"/>
      <c r="L347" s="193"/>
      <c r="M347" s="120"/>
      <c r="N347" s="200"/>
      <c r="O347" s="193"/>
      <c r="P347" s="28"/>
    </row>
    <row r="348" spans="1:16" ht="18.75">
      <c r="A348" s="7"/>
      <c r="B348" s="15"/>
      <c r="C348" s="6">
        <v>4210</v>
      </c>
      <c r="D348" s="9" t="s">
        <v>43</v>
      </c>
      <c r="E348" s="193">
        <v>30000</v>
      </c>
      <c r="F348" s="188">
        <v>23666.28</v>
      </c>
      <c r="G348" s="95">
        <f>F348/E348</f>
        <v>0.7888759999999999</v>
      </c>
      <c r="H348" s="193">
        <v>30000</v>
      </c>
      <c r="I348" s="188">
        <v>23666.28</v>
      </c>
      <c r="J348" s="119">
        <f>I348/H348</f>
        <v>0.7888759999999999</v>
      </c>
      <c r="K348" s="200"/>
      <c r="L348" s="193"/>
      <c r="M348" s="122"/>
      <c r="N348" s="200"/>
      <c r="O348" s="193"/>
      <c r="P348" s="28"/>
    </row>
    <row r="349" spans="1:16" ht="18.75">
      <c r="A349" s="7"/>
      <c r="B349" s="15"/>
      <c r="C349" s="6">
        <v>4260</v>
      </c>
      <c r="D349" s="9" t="s">
        <v>52</v>
      </c>
      <c r="E349" s="193">
        <v>10500</v>
      </c>
      <c r="F349" s="188">
        <v>5064.62</v>
      </c>
      <c r="G349" s="95">
        <f t="shared" si="56"/>
        <v>0.4823447619047619</v>
      </c>
      <c r="H349" s="193">
        <v>10500</v>
      </c>
      <c r="I349" s="188">
        <v>5064.62</v>
      </c>
      <c r="J349" s="119">
        <f t="shared" si="57"/>
        <v>0.4823447619047619</v>
      </c>
      <c r="K349" s="200"/>
      <c r="L349" s="193"/>
      <c r="M349" s="122"/>
      <c r="N349" s="200"/>
      <c r="O349" s="193"/>
      <c r="P349" s="28"/>
    </row>
    <row r="350" spans="1:16" ht="18.75">
      <c r="A350" s="7"/>
      <c r="B350" s="15"/>
      <c r="C350" s="6">
        <v>4270</v>
      </c>
      <c r="D350" s="9" t="s">
        <v>44</v>
      </c>
      <c r="E350" s="193">
        <v>1500</v>
      </c>
      <c r="F350" s="188">
        <v>0</v>
      </c>
      <c r="G350" s="95">
        <f>F350/E350</f>
        <v>0</v>
      </c>
      <c r="H350" s="193">
        <v>1500</v>
      </c>
      <c r="I350" s="188">
        <v>0</v>
      </c>
      <c r="J350" s="119">
        <f>I350/H350</f>
        <v>0</v>
      </c>
      <c r="K350" s="200"/>
      <c r="L350" s="193"/>
      <c r="M350" s="122"/>
      <c r="N350" s="200"/>
      <c r="O350" s="193"/>
      <c r="P350" s="28"/>
    </row>
    <row r="351" spans="1:16" ht="18.75">
      <c r="A351" s="7"/>
      <c r="B351" s="15"/>
      <c r="C351" s="15">
        <v>4300</v>
      </c>
      <c r="D351" s="9" t="s">
        <v>45</v>
      </c>
      <c r="E351" s="193">
        <v>50000</v>
      </c>
      <c r="F351" s="188">
        <v>39075.24</v>
      </c>
      <c r="G351" s="95">
        <f>F351/E351</f>
        <v>0.7815048</v>
      </c>
      <c r="H351" s="193">
        <v>50000</v>
      </c>
      <c r="I351" s="188">
        <v>39075.24</v>
      </c>
      <c r="J351" s="119">
        <f>I351/H351</f>
        <v>0.7815048</v>
      </c>
      <c r="K351" s="200"/>
      <c r="L351" s="193"/>
      <c r="M351" s="122"/>
      <c r="N351" s="200"/>
      <c r="O351" s="193"/>
      <c r="P351" s="28"/>
    </row>
    <row r="352" spans="1:16" ht="18.75">
      <c r="A352" s="47"/>
      <c r="B352" s="15"/>
      <c r="C352" s="6">
        <v>4410</v>
      </c>
      <c r="D352" s="9" t="s">
        <v>55</v>
      </c>
      <c r="E352" s="193">
        <v>5400</v>
      </c>
      <c r="F352" s="188">
        <v>2809.96</v>
      </c>
      <c r="G352" s="95">
        <f t="shared" si="56"/>
        <v>0.5203629629629629</v>
      </c>
      <c r="H352" s="193">
        <v>5400</v>
      </c>
      <c r="I352" s="188">
        <v>2809.96</v>
      </c>
      <c r="J352" s="119">
        <f t="shared" si="57"/>
        <v>0.5203629629629629</v>
      </c>
      <c r="K352" s="200"/>
      <c r="L352" s="193"/>
      <c r="M352" s="122"/>
      <c r="N352" s="200"/>
      <c r="O352" s="193"/>
      <c r="P352" s="28"/>
    </row>
    <row r="353" spans="1:16" ht="19.5" thickBot="1">
      <c r="A353" s="47"/>
      <c r="B353" s="15"/>
      <c r="C353" s="15">
        <v>4440</v>
      </c>
      <c r="D353" s="9" t="s">
        <v>129</v>
      </c>
      <c r="E353" s="193">
        <v>1400</v>
      </c>
      <c r="F353" s="188">
        <v>0</v>
      </c>
      <c r="G353" s="95">
        <f t="shared" si="56"/>
        <v>0</v>
      </c>
      <c r="H353" s="193">
        <v>1400</v>
      </c>
      <c r="I353" s="188">
        <v>0</v>
      </c>
      <c r="J353" s="119">
        <f t="shared" si="57"/>
        <v>0</v>
      </c>
      <c r="K353" s="200"/>
      <c r="L353" s="193"/>
      <c r="M353" s="122"/>
      <c r="N353" s="200"/>
      <c r="O353" s="193"/>
      <c r="P353" s="28"/>
    </row>
    <row r="354" spans="1:16" ht="19.5" thickBot="1">
      <c r="A354" s="48"/>
      <c r="B354" s="12" t="s">
        <v>76</v>
      </c>
      <c r="C354" s="12"/>
      <c r="D354" s="52"/>
      <c r="E354" s="192">
        <f>E4+E7+E23+E28+E39+E47+E93+E108+E127+E132+E136+E241+E255+E290+E294+E312+E337+E340</f>
        <v>11521572</v>
      </c>
      <c r="F354" s="192">
        <f>F4+F7+F23+F28+F39+F47+F93+F108+F127+F132+F136+F241+F255+F290+F294+F312+F337+F340</f>
        <v>6037257.01</v>
      </c>
      <c r="G354" s="83">
        <f>F354/E354</f>
        <v>0.5239959451713707</v>
      </c>
      <c r="H354" s="192">
        <f>H4+H7+H23+H28+H39+H47+H93+H108+H127+H132+H136+H241+H255+H290+H294+H312+H337+H340</f>
        <v>9643903</v>
      </c>
      <c r="I354" s="192">
        <f>I4+I7+I23+I28+I39+I47+I93+I108+I127+I132+I136+I241+I255+I290+I294+I312+I337+I340</f>
        <v>5223554.0600000005</v>
      </c>
      <c r="J354" s="84">
        <f t="shared" si="57"/>
        <v>0.5416431563030031</v>
      </c>
      <c r="K354" s="192">
        <f>K4+K7+K23+K28+K39+K47+K93+K108+K127+K132+K136+K241+K255+K294+K312+K337+K340</f>
        <v>1868669</v>
      </c>
      <c r="L354" s="192">
        <f>L4+L7+L23+L28+L39+L47+L93+L108+L127+L132+L136+L241+L255+L294+L312+L337+L340</f>
        <v>811956.9499999998</v>
      </c>
      <c r="M354" s="139">
        <f>L354/K354</f>
        <v>0.43451084702534254</v>
      </c>
      <c r="N354" s="192">
        <f>N7+N39+N337</f>
        <v>9000</v>
      </c>
      <c r="O354" s="192">
        <f>O7+O39+O337</f>
        <v>1746</v>
      </c>
      <c r="P354" s="14">
        <f>O354/N354</f>
        <v>0.194</v>
      </c>
    </row>
    <row r="355" spans="5:15" ht="18.75">
      <c r="E355" s="194"/>
      <c r="F355" s="194"/>
      <c r="H355" s="194"/>
      <c r="I355" s="194"/>
      <c r="N355" s="194"/>
      <c r="O355" s="194"/>
    </row>
    <row r="356" spans="5:9" ht="18.75">
      <c r="E356" s="194" t="s">
        <v>90</v>
      </c>
      <c r="F356" s="194"/>
      <c r="H356" s="194" t="s">
        <v>89</v>
      </c>
      <c r="I356" s="194"/>
    </row>
    <row r="357" spans="5:9" ht="18.75">
      <c r="E357" s="194">
        <f>H357+K354</f>
        <v>11521572</v>
      </c>
      <c r="F357" s="194">
        <f>I357+L354</f>
        <v>6037257.010000001</v>
      </c>
      <c r="H357" s="194">
        <f>H354+N354</f>
        <v>9652903</v>
      </c>
      <c r="I357" s="194">
        <f>I354+O354</f>
        <v>5225300.0600000005</v>
      </c>
    </row>
    <row r="362" spans="1:9" ht="18.75">
      <c r="A362" s="20"/>
      <c r="E362" s="18"/>
      <c r="F362" s="18"/>
      <c r="H362" s="18"/>
      <c r="I362" s="18"/>
    </row>
    <row r="363" spans="1:9" ht="18.75">
      <c r="A363" s="20"/>
      <c r="E363" s="18"/>
      <c r="F363" s="18"/>
      <c r="G363" s="18"/>
      <c r="H363" s="18"/>
      <c r="I363" s="18"/>
    </row>
    <row r="364" spans="1:9" ht="18.75">
      <c r="A364" s="20"/>
      <c r="E364" s="18"/>
      <c r="F364" s="18"/>
      <c r="H364" s="18"/>
      <c r="I364" s="18"/>
    </row>
    <row r="365" spans="1:9" ht="18.75">
      <c r="A365" s="20"/>
      <c r="E365" s="18"/>
      <c r="F365" s="18"/>
      <c r="H365" s="18"/>
      <c r="I365" s="18"/>
    </row>
    <row r="366" spans="1:9" ht="18.75">
      <c r="A366" s="20"/>
      <c r="E366" s="18"/>
      <c r="F366" s="18"/>
      <c r="H366" s="18"/>
      <c r="I366" s="18"/>
    </row>
    <row r="367" spans="1:9" ht="18.75">
      <c r="A367" s="20"/>
      <c r="E367" s="18"/>
      <c r="F367" s="18"/>
      <c r="H367" s="18"/>
      <c r="I367" s="18"/>
    </row>
    <row r="368" spans="1:9" ht="18.75">
      <c r="A368" s="20"/>
      <c r="E368" s="18"/>
      <c r="F368" s="18"/>
      <c r="H368" s="18"/>
      <c r="I368" s="18"/>
    </row>
    <row r="369" spans="1:9" ht="18.75">
      <c r="A369" s="20"/>
      <c r="E369" s="18"/>
      <c r="F369" s="18"/>
      <c r="H369" s="18"/>
      <c r="I369" s="18"/>
    </row>
    <row r="370" spans="1:9" ht="18.75">
      <c r="A370" s="20"/>
      <c r="E370" s="18"/>
      <c r="F370" s="18"/>
      <c r="H370" s="18"/>
      <c r="I370" s="18"/>
    </row>
    <row r="371" spans="1:9" ht="18.75">
      <c r="A371" s="20"/>
      <c r="E371" s="18"/>
      <c r="F371" s="18"/>
      <c r="H371" s="18"/>
      <c r="I371" s="18"/>
    </row>
    <row r="372" spans="1:9" ht="18.75">
      <c r="A372" s="20"/>
      <c r="E372" s="18"/>
      <c r="F372" s="18"/>
      <c r="H372" s="18"/>
      <c r="I372" s="18"/>
    </row>
    <row r="373" spans="1:9" ht="18.75">
      <c r="A373" s="33"/>
      <c r="E373" s="18"/>
      <c r="F373" s="18"/>
      <c r="H373" s="18"/>
      <c r="I373" s="18"/>
    </row>
    <row r="374" spans="1:9" ht="18.75">
      <c r="A374" s="33"/>
      <c r="E374" s="18"/>
      <c r="F374" s="18"/>
      <c r="H374" s="18"/>
      <c r="I374" s="18"/>
    </row>
    <row r="375" spans="1:9" ht="18.75">
      <c r="A375" s="33"/>
      <c r="E375" s="18"/>
      <c r="F375" s="18"/>
      <c r="H375" s="18"/>
      <c r="I375" s="18"/>
    </row>
    <row r="376" spans="1:9" ht="18.75">
      <c r="A376" s="33"/>
      <c r="E376" s="18"/>
      <c r="F376" s="18"/>
      <c r="H376" s="18"/>
      <c r="I376" s="18"/>
    </row>
    <row r="377" spans="1:9" ht="18.75">
      <c r="A377" s="33"/>
      <c r="E377" s="18"/>
      <c r="F377" s="18"/>
      <c r="H377" s="18"/>
      <c r="I377" s="18"/>
    </row>
    <row r="378" spans="1:9" ht="18.75">
      <c r="A378" s="20"/>
      <c r="D378" s="18"/>
      <c r="E378" s="18"/>
      <c r="F378" s="18"/>
      <c r="H378" s="18"/>
      <c r="I378" s="18"/>
    </row>
    <row r="379" spans="1:9" ht="18.75">
      <c r="A379" s="33"/>
      <c r="D379" s="55"/>
      <c r="E379" s="18"/>
      <c r="F379" s="18"/>
      <c r="H379" s="18"/>
      <c r="I379" s="18"/>
    </row>
    <row r="380" ht="18.75">
      <c r="A380" s="33"/>
    </row>
    <row r="381" ht="18.75">
      <c r="A381" s="33"/>
    </row>
    <row r="382" ht="18.75">
      <c r="A382" s="33"/>
    </row>
    <row r="383" ht="18.75">
      <c r="A383" s="33"/>
    </row>
    <row r="384" ht="18.75">
      <c r="A384" s="33"/>
    </row>
    <row r="385" ht="18.75">
      <c r="A385" s="33"/>
    </row>
    <row r="386" ht="18.75">
      <c r="A386" s="33"/>
    </row>
    <row r="387" ht="18.75">
      <c r="A387" s="33"/>
    </row>
    <row r="388" ht="18.75">
      <c r="A388" s="33"/>
    </row>
    <row r="389" ht="18.75">
      <c r="A389" s="33"/>
    </row>
    <row r="390" ht="18.75">
      <c r="A390" s="33"/>
    </row>
    <row r="391" ht="18.75">
      <c r="A391" s="33"/>
    </row>
    <row r="392" ht="18.75">
      <c r="A392" s="33"/>
    </row>
    <row r="393" ht="18.75">
      <c r="A393" s="33"/>
    </row>
    <row r="394" ht="18.75">
      <c r="A394" s="33"/>
    </row>
    <row r="395" ht="18.75">
      <c r="A395" s="33"/>
    </row>
    <row r="396" ht="18.75">
      <c r="A396" s="33"/>
    </row>
    <row r="397" ht="18.75">
      <c r="A397" s="33"/>
    </row>
    <row r="398" ht="18.75">
      <c r="A398" s="33"/>
    </row>
    <row r="399" ht="18.75">
      <c r="A399" s="33"/>
    </row>
    <row r="400" ht="18.75">
      <c r="A400" s="33"/>
    </row>
    <row r="401" ht="18.75">
      <c r="A401" s="33"/>
    </row>
    <row r="402" ht="18.75">
      <c r="A402" s="33"/>
    </row>
    <row r="403" ht="18.75">
      <c r="A403" s="33"/>
    </row>
  </sheetData>
  <sheetProtection/>
  <mergeCells count="8">
    <mergeCell ref="E1:G1"/>
    <mergeCell ref="H1:J1"/>
    <mergeCell ref="K1:M1"/>
    <mergeCell ref="N1:P1"/>
    <mergeCell ref="A1:A2"/>
    <mergeCell ref="B1:B2"/>
    <mergeCell ref="C1:C2"/>
    <mergeCell ref="D1:D2"/>
  </mergeCells>
  <printOptions/>
  <pageMargins left="0.75" right="0.75" top="0.76" bottom="0.55" header="0.5" footer="0.32"/>
  <pageSetup fitToHeight="0" fitToWidth="1" horizontalDpi="600" verticalDpi="600" orientation="landscape" paperSize="9" scale="50" r:id="rId1"/>
  <headerFooter alignWithMargins="0">
    <oddHeader>&amp;C&amp;"Times New Roman,Normalny"Plan i wykonanie wydatków budżetu Gminy Golczewo za I półrocze 2006 r. wg klasyfikacji budżetowej (w zł)&amp;R&amp;"Times New Roman,Normalny"Załącznik nr 2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Golczewo</dc:creator>
  <cp:keywords/>
  <dc:description/>
  <cp:lastModifiedBy>Dom</cp:lastModifiedBy>
  <cp:lastPrinted>2006-08-04T08:17:48Z</cp:lastPrinted>
  <dcterms:created xsi:type="dcterms:W3CDTF">2002-11-05T09:24:50Z</dcterms:created>
  <dcterms:modified xsi:type="dcterms:W3CDTF">2014-01-05T13:56:46Z</dcterms:modified>
  <cp:category/>
  <cp:version/>
  <cp:contentType/>
  <cp:contentStatus/>
</cp:coreProperties>
</file>