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1"/>
  </bookViews>
  <sheets>
    <sheet name="2010_doch_I_półrocze" sheetId="1" r:id="rId1"/>
    <sheet name="2010_wyd_I_półrocze" sheetId="2" r:id="rId2"/>
    <sheet name="SPZOZ" sheetId="3" r:id="rId3"/>
    <sheet name="MGBP" sheetId="4" r:id="rId4"/>
  </sheets>
  <externalReferences>
    <externalReference r:id="rId7"/>
  </externalReferences>
  <definedNames>
    <definedName name="CRITERIA">'[1]Arkusz3'!#REF!</definedName>
    <definedName name="_xlnm.Print_Area" localSheetId="0">'2010_doch_I_półrocze'!$A$1:$P$146</definedName>
    <definedName name="_xlnm.Print_Area" localSheetId="1">'2010_wyd_I_półrocze'!$A$1:$P$506</definedName>
  </definedNames>
  <calcPr fullCalcOnLoad="1"/>
</workbook>
</file>

<file path=xl/comments2.xml><?xml version="1.0" encoding="utf-8"?>
<comments xmlns="http://schemas.openxmlformats.org/spreadsheetml/2006/main">
  <authors>
    <author>Basia</author>
  </authors>
  <commentList>
    <comment ref="D41" authorId="0">
      <text>
        <r>
          <rPr>
            <b/>
            <sz val="8"/>
            <rFont val="Tahoma"/>
            <family val="2"/>
          </rPr>
          <t>Basia:</t>
        </r>
        <r>
          <rPr>
            <sz val="8"/>
            <rFont val="Tahoma"/>
            <family val="2"/>
          </rPr>
          <t xml:space="preserve">
</t>
        </r>
      </text>
    </comment>
    <comment ref="D111" authorId="0">
      <text>
        <r>
          <rPr>
            <b/>
            <sz val="8"/>
            <rFont val="Tahoma"/>
            <family val="2"/>
          </rPr>
          <t>Basia:</t>
        </r>
        <r>
          <rPr>
            <sz val="8"/>
            <rFont val="Tahoma"/>
            <family val="2"/>
          </rPr>
          <t xml:space="preserve">
</t>
        </r>
      </text>
    </comment>
    <comment ref="D213" authorId="0">
      <text>
        <r>
          <rPr>
            <b/>
            <sz val="8"/>
            <rFont val="Tahoma"/>
            <family val="2"/>
          </rPr>
          <t>Basia:</t>
        </r>
        <r>
          <rPr>
            <sz val="8"/>
            <rFont val="Tahoma"/>
            <family val="2"/>
          </rPr>
          <t xml:space="preserve">
</t>
        </r>
      </text>
    </comment>
    <comment ref="D45" authorId="0">
      <text>
        <r>
          <rPr>
            <b/>
            <sz val="8"/>
            <rFont val="Tahoma"/>
            <family val="2"/>
          </rPr>
          <t>Basia: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<sst xmlns="http://schemas.openxmlformats.org/spreadsheetml/2006/main" count="897" uniqueCount="286">
  <si>
    <t>Dz.</t>
  </si>
  <si>
    <t>Rozdz.</t>
  </si>
  <si>
    <t>§</t>
  </si>
  <si>
    <t>Wyszczególnienie</t>
  </si>
  <si>
    <t>Pozostała działalność</t>
  </si>
  <si>
    <t>Gospodarka mieszkaniowa</t>
  </si>
  <si>
    <t>Wpływy z usług</t>
  </si>
  <si>
    <t>Dodatki mieszkaniowe</t>
  </si>
  <si>
    <t>Podatek rolny</t>
  </si>
  <si>
    <t>Podatek leśny</t>
  </si>
  <si>
    <t>Podatek od nieruchomości</t>
  </si>
  <si>
    <t>Wpływy z opłaty skarbowej</t>
  </si>
  <si>
    <t>Urzędy wojewódzkie</t>
  </si>
  <si>
    <t>Różne rozliczenia</t>
  </si>
  <si>
    <t>OGÓŁEM DOCHODY</t>
  </si>
  <si>
    <t>Ochrona zdrowia</t>
  </si>
  <si>
    <t>Gospodarka gruntami i nieruchomościami</t>
  </si>
  <si>
    <t>Drogi publiczne powiatowe</t>
  </si>
  <si>
    <t>Leśnictwo</t>
  </si>
  <si>
    <t>Rolnictwo i łowiectwo</t>
  </si>
  <si>
    <t>Wpływy z różnych opłat</t>
  </si>
  <si>
    <t>Transport i łączność</t>
  </si>
  <si>
    <t>Turystyka</t>
  </si>
  <si>
    <t>Pozostałe odsetki</t>
  </si>
  <si>
    <t>Administracja publiczna</t>
  </si>
  <si>
    <t>Urzędy gmin (miast i miast na pr. powiatu)</t>
  </si>
  <si>
    <t>Podatek od czynności cywilnoprawnych</t>
  </si>
  <si>
    <t>Podatek od spadków i darowizn</t>
  </si>
  <si>
    <t>Wpływy z opłaty targowej</t>
  </si>
  <si>
    <t>Ośrodki pomocy społecznej</t>
  </si>
  <si>
    <t>Oświetlenie ulic, placów i dróg</t>
  </si>
  <si>
    <t>Wpływy z opłaty eksploatacyjnej</t>
  </si>
  <si>
    <t>Drogi publiczne gminne</t>
  </si>
  <si>
    <t>Działalność usługowa</t>
  </si>
  <si>
    <t>Cmentarze</t>
  </si>
  <si>
    <t>Różne rozliczenia finansowe</t>
  </si>
  <si>
    <t>Oświata i wychowanie</t>
  </si>
  <si>
    <t>Szkoły podstawowe</t>
  </si>
  <si>
    <t>Gimnazja</t>
  </si>
  <si>
    <t>Wpływy z różnych dochodów</t>
  </si>
  <si>
    <t>Edukacyjna opieka wychowawcza</t>
  </si>
  <si>
    <t>Izby rolnicze</t>
  </si>
  <si>
    <t>Zakup materiałów i wyposażenia</t>
  </si>
  <si>
    <t>Zakup usług remontowych</t>
  </si>
  <si>
    <t>Zakup usług pozostałych</t>
  </si>
  <si>
    <t>Dział</t>
  </si>
  <si>
    <t>OGÓŁEM</t>
  </si>
  <si>
    <t>Wynagrodzenia osobowe pracowników</t>
  </si>
  <si>
    <t>Dodatkowe wynagrodzenie roczne</t>
  </si>
  <si>
    <t>Składki na ubezpieczenia społeczne</t>
  </si>
  <si>
    <t>Składki na Fundusz Pracy</t>
  </si>
  <si>
    <t>Wpłaty na PFRON</t>
  </si>
  <si>
    <t>Zakup energii</t>
  </si>
  <si>
    <t>Różne opłaty i składki</t>
  </si>
  <si>
    <t>Plany zagospodarowania przestrzennego</t>
  </si>
  <si>
    <t>Podróże służbowe krajowe</t>
  </si>
  <si>
    <t>Rady gmin (miast i miast na prawach powiatu)</t>
  </si>
  <si>
    <t>Różne wydatki na rzecz osób fizycznych</t>
  </si>
  <si>
    <t>Urzędy gmin (miast i miast na prawach powiatu)</t>
  </si>
  <si>
    <t>Wynagrodzenia agencyjno-prowizyjne</t>
  </si>
  <si>
    <t>Ochotnicze straże pożarne</t>
  </si>
  <si>
    <t>Obsługa długu publicznego</t>
  </si>
  <si>
    <t>Dowożenie uczniów do szkół</t>
  </si>
  <si>
    <t>Licea ogólnokształcące</t>
  </si>
  <si>
    <t>Dokształcanie i doskonalenie nauczycieli</t>
  </si>
  <si>
    <t>Przeciwdziałanie alkoholizmowi</t>
  </si>
  <si>
    <t>Świadczenia społeczne</t>
  </si>
  <si>
    <t>Świetlice szkolne</t>
  </si>
  <si>
    <t>Gosodarka komunalna i ochrona środowiska</t>
  </si>
  <si>
    <t>Oczyszczanie miast i wsi</t>
  </si>
  <si>
    <t>Utrzymanie zieleni w miastach i gminach</t>
  </si>
  <si>
    <t>Schroniska dla zwierząt</t>
  </si>
  <si>
    <t>Wydatki inwestycyjne jednostek budżetowych</t>
  </si>
  <si>
    <t>Biblioteki</t>
  </si>
  <si>
    <t>Kultura fizyczna i sport</t>
  </si>
  <si>
    <t xml:space="preserve">                                                               OGÓŁEM WYDATKI</t>
  </si>
  <si>
    <t>Wydatki</t>
  </si>
  <si>
    <t>Przedszkola</t>
  </si>
  <si>
    <t>Wykonanie</t>
  </si>
  <si>
    <t>Kultura i ochrona dziedzictwa narodowego</t>
  </si>
  <si>
    <t>Pomoc materialna dla uczniów</t>
  </si>
  <si>
    <t>Plan</t>
  </si>
  <si>
    <t>Wsk.</t>
  </si>
  <si>
    <t xml:space="preserve">           ZADANIA WŁASNE</t>
  </si>
  <si>
    <t xml:space="preserve">           ZADANIA ZLECONE</t>
  </si>
  <si>
    <t>Plan           (rubr.8+11+14)</t>
  </si>
  <si>
    <t>Wykonanie (rubr.9+12+15)</t>
  </si>
  <si>
    <t>ZADANIA POWIERZONE</t>
  </si>
  <si>
    <t xml:space="preserve">Wykonanie </t>
  </si>
  <si>
    <t>Budżet ogółem</t>
  </si>
  <si>
    <t>Zadania zlecone</t>
  </si>
  <si>
    <t>Zadania powierzone</t>
  </si>
  <si>
    <t>Zadania własne</t>
  </si>
  <si>
    <t>Pomoc społeczna</t>
  </si>
  <si>
    <t>Składki na ubezpieczenia zdrowotne</t>
  </si>
  <si>
    <t>hjhjhhj</t>
  </si>
  <si>
    <t xml:space="preserve">Gmina Golczewo-ludność </t>
  </si>
  <si>
    <t>31.12.2004 r.</t>
  </si>
  <si>
    <t>Wynagrodzenia bezosobowe</t>
  </si>
  <si>
    <t>Promocja jednostek samorządu terytorialnego</t>
  </si>
  <si>
    <t>Stypendia dla uczniów</t>
  </si>
  <si>
    <t>Oddziały przedszkolne w szkołach podstawowych</t>
  </si>
  <si>
    <t>Zakup usług zdrowotnych</t>
  </si>
  <si>
    <t>Część równoważąca subwencji ogólnej dla gmin</t>
  </si>
  <si>
    <t>Zakup usług dostępu do sieci Internet</t>
  </si>
  <si>
    <t>Gospodarka komunalna i ochrona środowiska</t>
  </si>
  <si>
    <t>Komendy powiatowe Policji</t>
  </si>
  <si>
    <t>Wpływy z tytułu przekształcenia prawa użytkowania wieczystego przysługującego osobom fizycznym w prawo własności</t>
  </si>
  <si>
    <t>Dochody jednostek samorządu terytorialnego związane z realizacją  zadań z zakresu administracji rządowej oraz innych zadań zleconych ustawami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</si>
  <si>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</si>
  <si>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</si>
  <si>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</si>
  <si>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</si>
  <si>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 xml:space="preserve">Podatek od działalności gospodarczej osób fizycznych, opłacany w formie karty podatkowej 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</si>
  <si>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</si>
  <si>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</si>
  <si>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środków transportowych</t>
  </si>
  <si>
    <t>Wpływy z innych opłat stanowiących dochody jst na podstawie ustaw</t>
  </si>
  <si>
    <t>Udziały gmin w podatkach stanowiacych dochód budżetu państwa</t>
  </si>
  <si>
    <t>Część oświatowa subwencji ogólnej dla jednostek samorządu terytorialnego</t>
  </si>
  <si>
    <t>Subwencje ogólne z budżetu państwa</t>
  </si>
  <si>
    <t>Zasiłki i pomoc w naturze oraz składki na ubezpieczenia emerytalne i rentowe</t>
  </si>
  <si>
    <t>Wpłaty gmin na rzecz izb rolniczych w wyskości 2% uzyskanych wpływów z podatku rolnego</t>
  </si>
  <si>
    <t>Wydatki osobowe niezaliczone do wynagrodzeń</t>
  </si>
  <si>
    <t>Odpisy na ZFŚS</t>
  </si>
  <si>
    <t xml:space="preserve">Urzędy naczelnych organów władzy państwowej, kontroli i ochrony prawa </t>
  </si>
  <si>
    <t>Bezpieczeństwo publiczne i ochrona przeciwpożarowa</t>
  </si>
  <si>
    <t>Pobór podatków, opłat i niepodatkowych należności budżetowych</t>
  </si>
  <si>
    <t>Obsługa papierów wartościowych, kredytów i pożyczek jednostek samorządu terytorialnego</t>
  </si>
  <si>
    <t>Zakup pomocy naukowych, dydaktycznych i książek</t>
  </si>
  <si>
    <t>Dotacja celowa z budżetu na finansowanie lub dofinansowanie zadań zleconych do realizacji stowarzyszeniom</t>
  </si>
  <si>
    <t>Dotacja podmiotowa z budżetu dla samorządowej instytucji kultury</t>
  </si>
  <si>
    <t>Wpływy z podatku rolnego, podatku leśnego, podatku od spadków i darowizn, podatku od czynności cywilnoprawnych oraz podatków i opłat lokalnych od osób fizycznych</t>
  </si>
  <si>
    <t>Dotacje celowe otrzymane z powiatu na zadania bieżące realizowane na podstawie porozumień (umów) między jednostkami samorządu terytorialnego</t>
  </si>
  <si>
    <t>Wpłaty z tytułu odpłatnego nabycia prawa własności oraz prawa użytkowania wieczystego nieruchomości</t>
  </si>
  <si>
    <t>Wydatki inwestycycjne jednostek budżetowych</t>
  </si>
  <si>
    <t>Opracowania geodezyjne i kartograficzne</t>
  </si>
  <si>
    <t>Dotacje celowe przekazane dla powiatu na inwestycje i zakupy inwestycyjne realizowane na podstawie porozumień (umów) między jst</t>
  </si>
  <si>
    <t>Zwalczanie narkomanii</t>
  </si>
  <si>
    <t>Gospodarka odpadami</t>
  </si>
  <si>
    <t>Gospodarstwa pomocnicze</t>
  </si>
  <si>
    <t>Podatek dochodowy od osób fizycznych</t>
  </si>
  <si>
    <t>Podatek dochodowy od osób prawnych</t>
  </si>
  <si>
    <t>własne+powierz</t>
  </si>
  <si>
    <t>Wpływy z opłat za zarząd, użytkowanie i użytkowanie wieczyste nieruchomości</t>
  </si>
  <si>
    <t>Dochody z najmu i dzierżawy składników majątkowych Skarbu Państwa, j.s.t. lub innych jednostek zaliczanych do sektora finansów publicznych oraz innych umów o podobnym charakterze</t>
  </si>
  <si>
    <t>Wpływy z opłat za wydanie zezwoleń na sprzeadż alkoholu</t>
  </si>
  <si>
    <t>010</t>
  </si>
  <si>
    <t>01095</t>
  </si>
  <si>
    <t>Dotacje celowe otrzymane z budżetu państwa na realizację zadań bieżących z zakresu administracji rządowej oraz innych zadań zleconych gminie (związkom gmin) ustawami</t>
  </si>
  <si>
    <t>0970</t>
  </si>
  <si>
    <t>0960</t>
  </si>
  <si>
    <t>Otrzymane spadki, zapisy i darowizny w postaci pieniężnej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</si>
  <si>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</si>
  <si>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 (związków gmin) ustawami</t>
  </si>
  <si>
    <t>Dotacje celowe otrzymane z gminy na zadania bieżące realizowane na podstawie porozumień (umów) między j.s.t.</t>
  </si>
  <si>
    <t>Dotacje celowe otrzymane z budżetu państwa na realizację zadań bieżących z zakresu administracji rządowej oraz innych zadań zleconych gminie (związków gmin)  ustawami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</si>
  <si>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</si>
  <si>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</si>
  <si>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stacjonarnej</t>
  </si>
  <si>
    <t>Opłaty z tytułu zakupu usług telekomunikacyjnych telefonii komórkowej</t>
  </si>
  <si>
    <t>Szkolenia pracowników niebędących członkami korpusu służby cywilnej</t>
  </si>
  <si>
    <t>Wpłaty jednostek na fundusz celowy</t>
  </si>
  <si>
    <t>Zakłady gospodarki komunalnej</t>
  </si>
  <si>
    <t>Dotacje celowe z budżetu na finansowanie lub dofinansowanie kosztów realizacji inwestycji i zakupów inwestycyjnych zakładów budżetowych</t>
  </si>
  <si>
    <t>Dotacje celowe otrzymane z budżetu państwa na zadania bieżące realizowane przez gminę na podstawie porozumień z organami administracji rządowej</t>
  </si>
  <si>
    <t xml:space="preserve"> </t>
  </si>
  <si>
    <t>0690</t>
  </si>
  <si>
    <t>0830</t>
  </si>
  <si>
    <t>2440</t>
  </si>
  <si>
    <t>Dotacje otrzymane z funduszy celowych  na realizację zadań bieżących jednostek sektora finansowych publicznych</t>
  </si>
  <si>
    <t>0490</t>
  </si>
  <si>
    <t>Wpływy z innych lokalnych opłat pobieranych przez jst na podstawie odrębnych ustaw</t>
  </si>
  <si>
    <t>0590</t>
  </si>
  <si>
    <t>Wpływy z opłat za koncesje i licencje</t>
  </si>
  <si>
    <t>Część wyrównawcza subwencji ogólnej dla gmin</t>
  </si>
  <si>
    <t>Dochody jednostek samorzadu terytorialnego związane z realizacją zadań z zakresu administracji rządowej oraz innych zadań zleconych ustawami</t>
  </si>
  <si>
    <t>Składki na ubezpieczenie zdrowotne opłacane za osoby pobierające niektóre świadczenia z pomocy społecznej, niektóre świadczenia rodzinne oraz za osoby uczestniczace w zajęciach w centrum integracji społecznej</t>
  </si>
  <si>
    <t>Dotacje rozwojowe oraz środki na finansowanie Wspólnej Polityki Rolnej</t>
  </si>
  <si>
    <t>Gospodarka ściekowa i ochrona wód</t>
  </si>
  <si>
    <t>Pozostałe zadania w zakresie polityki społecznej</t>
  </si>
  <si>
    <t>Różne jednostki obsługi gospodarki mieszkaniowej</t>
  </si>
  <si>
    <t>Opłaty za administrowanie i czynsze za budynki, lokale i pomieszczenia garażowe</t>
  </si>
  <si>
    <t>Koszty postępowania sądowego i prokuratorskiego</t>
  </si>
  <si>
    <t>Wydatki na zakupy inwestycyjne jednostek budżetowych</t>
  </si>
  <si>
    <t>Rezerwy ogólne i celowe</t>
  </si>
  <si>
    <t xml:space="preserve">Rezerwy  </t>
  </si>
  <si>
    <t>Stołówki szkolne</t>
  </si>
  <si>
    <t>Składki na PFRON</t>
  </si>
  <si>
    <t>Nagrody o charakterze szczególnym niezaliczone do wynagrodzeń</t>
  </si>
  <si>
    <t>Składki na ubezpieczenia zdrowotne opłacane za osoby pobierające niektóre świadczenia z pomocy społecznej, niektóre świadczenia rodzinne oraz za osoby uczestniczące w zajęciach w centrum integracji społecznej</t>
  </si>
  <si>
    <t>1.</t>
  </si>
  <si>
    <t xml:space="preserve"> Lp.</t>
  </si>
  <si>
    <t>2.</t>
  </si>
  <si>
    <t xml:space="preserve">Odsetki </t>
  </si>
  <si>
    <t>Razem</t>
  </si>
  <si>
    <t>3.</t>
  </si>
  <si>
    <t>4.</t>
  </si>
  <si>
    <t>5.</t>
  </si>
  <si>
    <t>6.</t>
  </si>
  <si>
    <t>7.</t>
  </si>
  <si>
    <t>8.</t>
  </si>
  <si>
    <t>9.</t>
  </si>
  <si>
    <t>Usługi pozostałe</t>
  </si>
  <si>
    <t>Usługi remontowe</t>
  </si>
  <si>
    <t>Koszty pozostałe</t>
  </si>
  <si>
    <t>Krajowe podróże służbowe</t>
  </si>
  <si>
    <t>Wynagrodzenia, składki na ubezpieczenia społeczne i Fundusz Pracy</t>
  </si>
  <si>
    <t>PRZYCHODY</t>
  </si>
  <si>
    <t>Narodowy Fundusz Zdrowia</t>
  </si>
  <si>
    <t>Wpłaty pacjentów</t>
  </si>
  <si>
    <t>Wynagrodzenia personelu</t>
  </si>
  <si>
    <t>Odpis na Zakładowy Fundusz Świadczeń Socjalnych</t>
  </si>
  <si>
    <t>KOSZTY</t>
  </si>
  <si>
    <t xml:space="preserve">                          </t>
  </si>
  <si>
    <t>Dotacje celowe otrzymane z powiatu na inwestycje i zakupy inwestycyjne realizowane na podstawie porozumień (umów) między jednostkami samorządu terytorialnego</t>
  </si>
  <si>
    <t>0910</t>
  </si>
  <si>
    <t>Dotacje z budżetu na zadania bieżące</t>
  </si>
  <si>
    <t>Dotacje z budżetu na inwestycje</t>
  </si>
  <si>
    <t>Wydatki inwestycyjne - budowa Centrum Społeczno-Kulturalnego w Wysokiej Kamieńskiej</t>
  </si>
  <si>
    <t>Drogi publiczne wojewódzkie</t>
  </si>
  <si>
    <t>Dotacja celowa na pomoc finansową udzielaną miezdy jednostkami samorządu terytorialnego na dofinansowanie własnych zadań inwestycyjnych i zakupów inwestycyjnych</t>
  </si>
  <si>
    <t>Opłaty na rzecz budżetów jednostek samorzadu terytorialnego</t>
  </si>
  <si>
    <t>Ochrona zabytków i opieka nad zabytkami</t>
  </si>
  <si>
    <t>Obiekty sportowe</t>
  </si>
  <si>
    <t>Zakup usług obejmujacych tłumaczenia</t>
  </si>
  <si>
    <t>Rozliczenia z bankami zwiazane z obsługa długu publicznego</t>
  </si>
  <si>
    <t>Dotacje celowe z budżetu na finansowanie lub dofinansowanie kosztów realizacji inwestycji i zakupów inwestycyjnych innych jednostek sektora finansów publicznych</t>
  </si>
  <si>
    <t>Świadczenia rodzinne, świadczenie z funduszu alimentacyjnego oraz składki na ubezpieczenia emerytalne i rentowe z ubezpieczenia społecznego</t>
  </si>
  <si>
    <t>Przychody finansowe</t>
  </si>
  <si>
    <t>10.</t>
  </si>
  <si>
    <t>11.</t>
  </si>
  <si>
    <t>Najem pomieszczeń w Wysokiej Kamieńskiej</t>
  </si>
  <si>
    <t>12.</t>
  </si>
  <si>
    <t>13.</t>
  </si>
  <si>
    <t>Dotacje celowe w ramach programów finansowanych z udziałem środków europejskich oraz środków, o których mowa w art.. 5 ust. 1 pkt 3 oraz ust. 3 pkt 5 i 6 ustawy, lub płatności w ramach budżetu środków europejskich</t>
  </si>
  <si>
    <t xml:space="preserve">Wpływy z różnych opłat </t>
  </si>
  <si>
    <t>wpływy z usług</t>
  </si>
  <si>
    <t>Wpływy z róznych dochodów</t>
  </si>
  <si>
    <t>Środki na dofinansowanie własnych zadań bieżących gmin (związków gmin), powiatów (związków powiatów), samorządów województw, pozyskane z innych źródeł</t>
  </si>
  <si>
    <t>Domy pomocy społecznej</t>
  </si>
  <si>
    <t>Zasiłki stałe</t>
  </si>
  <si>
    <t>0900</t>
  </si>
  <si>
    <t>2910</t>
  </si>
  <si>
    <t>Odsetki od dotacji oraz płatności : wykorzystanych niezgodnie z przeznaczeniem lub wykorzystanych z naruszeniem procedur, o których mowa w art.. 184 ustawy, pobranych nienależnie lub w nadmiernej wysokości</t>
  </si>
  <si>
    <t>Wpływy ze zwrotów dotacji oraz płatności, w tym wykorzystanych niezgodnie z przeznaczeniem lub wykorzystanych z naruszeniem procedur, o których mowa w art.. 184 ustawy, pobranych nienależnie lub w nadmiernej wysokości</t>
  </si>
  <si>
    <t>Wpływy i wydatki związane z gromadzeniem środków z opłat i kar za korzystanie ze środowiska</t>
  </si>
  <si>
    <t>6207</t>
  </si>
  <si>
    <t>Domy i ośrodki kultury, świetlice i kluby</t>
  </si>
  <si>
    <t>Opłaty na rzecz budżetu państwa</t>
  </si>
  <si>
    <t>Dotacje celowe z budżetu na finanansowanie lub dofinansowanie kosztów realizacji inwestycji i zakupów inwestycyjnych jednostek niezaliczanych do sektora finansów publicznych</t>
  </si>
  <si>
    <t>Wybory Prezydenta Rzeczypospolitej Polskiej</t>
  </si>
  <si>
    <t>Komendy powiatowe Państwowej Straży Pożarnej</t>
  </si>
  <si>
    <t>Dotacja celowa na pomoc finansową udzielaną między jednostkami samorządu terytorialnego na dofinansowanie własnych zadań inwestycyjnych i zakupów inwestycyjnych</t>
  </si>
  <si>
    <t>Straż Miejska</t>
  </si>
  <si>
    <t>Dotacje celowe przekazane gminie na zadania bieżące realizowane na podstawie porozumień (umów) między jednostkami samorzadu terytorialnego</t>
  </si>
  <si>
    <t>Odsetki od samorządowych papierów wartościowych lub zaciągniętych przez jednostkę samorządu terytorialnego kredytów i pożyczek</t>
  </si>
  <si>
    <t>Zakup usług przez jednostki samorządu terytorialnego od innych jednostek samorządu terytorialnego</t>
  </si>
  <si>
    <t>Domy i osrodki kultury, świetlice i kluby</t>
  </si>
  <si>
    <t>Dotacje celowe przekazane z budżetu na finansowanie lub dofinansowanie zadań inwestycyjnych obiektów zabytkowych jednostkom niezaliczanym do sektora finansów publicznych</t>
  </si>
  <si>
    <t>Amortyzacja</t>
  </si>
  <si>
    <t>Zużycie materiałów: biurowych, leków, sprzętu jednorazowego, środków dezynf., środków czystości, materiałów budowlanych, szczepionek</t>
  </si>
  <si>
    <t>Zużycie energii cieplnej</t>
  </si>
  <si>
    <t xml:space="preserve">Usługi transportowe                                                                                                                                                    </t>
  </si>
  <si>
    <t>Usługi komunalne (wywóz nieczystości, utylizacja odpadów medycznych)</t>
  </si>
  <si>
    <t>Badania laboratoryjne (USG, RTG)</t>
  </si>
  <si>
    <t>Fundusz remontowy i usługi remontowe</t>
  </si>
  <si>
    <t>Usługi telekomunikacyjne, pocztowe, bankowe</t>
  </si>
  <si>
    <t>Pozostałe usługi (sprzątanie pomieszczeń, abonament za internet, obsługa programu komtuterowego - serwis, konserwacja instalacji alarmowej)</t>
  </si>
  <si>
    <t>Pozostałe koszty: szkolenie pracowników, inne koszty rodzajowe</t>
  </si>
  <si>
    <t>Ubezpieczenia majatkowe, podatek od nieruchomości</t>
  </si>
  <si>
    <t xml:space="preserve">         Wykonanie planu finansowego Samodzielnego Publicznego Zakładu Opieki Zdrowotnej w Golczewie      za I półrocze 2010 r. </t>
  </si>
  <si>
    <t>WYDATKI INWESTYCYJNE</t>
  </si>
  <si>
    <t>Zakup aparatu USG</t>
  </si>
  <si>
    <t xml:space="preserve">         Wykonanie planu finansowego Miejsko-Gminnej Biblioteki Publicznej w Golczewie                                   za I półrocze 2010 r. </t>
  </si>
  <si>
    <t>Wynajem Sali</t>
  </si>
  <si>
    <t>Zakup książek</t>
  </si>
  <si>
    <t>Zakup materiałów i wyposażenia, w tym:</t>
  </si>
  <si>
    <t>zakup materiałów biurowych</t>
  </si>
  <si>
    <t>zakup węgla (filia w Wysokiej Kamieńskiej)</t>
  </si>
  <si>
    <t>zakup środków czystości</t>
  </si>
  <si>
    <t>zakup czsopism</t>
  </si>
  <si>
    <t>zakup pomocy dydaktycznych</t>
  </si>
  <si>
    <t>woda, kanalizacja</t>
  </si>
  <si>
    <t>energia elektryczna, c.o.</t>
  </si>
  <si>
    <t>Zakup leków, wyrobów medycznych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</si>
</sst>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_z_ł;&quot;-&quot;#,##0_ _z_ł"/>
    <numFmt numFmtId="165" formatCode="00\-000"/>
    <numFmt numFmtId="166" formatCode="0.0%"/>
    <numFmt numFmtId="167" formatCode="#,##0.0"/>
  </numFmts>
  <fonts count="5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ashDotDot"/>
      <bottom>
        <color indexed="63"/>
      </bottom>
    </border>
    <border>
      <left style="dotted"/>
      <right style="thin"/>
      <top style="dashDot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ashDotDot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ashDotDot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tted"/>
      <top style="thick"/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tted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DashDotDot"/>
      <top style="thin"/>
      <bottom style="double"/>
    </border>
    <border>
      <left style="mediumDashDotDot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DashDotDot"/>
      <top style="double"/>
      <bottom style="thin"/>
    </border>
    <border>
      <left style="thin"/>
      <right style="mediumDashDotDot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DashDotDot"/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ashDotDot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thick"/>
      <bottom style="thick"/>
    </border>
    <border>
      <left style="dotted"/>
      <right style="thin"/>
      <top style="thick"/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ashDotDot"/>
    </border>
    <border>
      <left style="thin"/>
      <right style="medium"/>
      <top style="thick"/>
      <bottom style="thick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 style="medium"/>
      <top style="medium"/>
      <bottom style="double"/>
    </border>
    <border>
      <left style="thin"/>
      <right style="dotted"/>
      <top>
        <color indexed="63"/>
      </top>
      <bottom style="dashDotDot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>
        <color indexed="63"/>
      </top>
      <bottom style="dashDotDot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medium"/>
    </border>
    <border>
      <left>
        <color indexed="63"/>
      </left>
      <right style="thin"/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otted"/>
      <right>
        <color indexed="63"/>
      </right>
      <top>
        <color indexed="63"/>
      </top>
      <bottom style="dashDotDot"/>
    </border>
    <border>
      <left style="dotted"/>
      <right style="thin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thick"/>
    </border>
    <border>
      <left style="medium"/>
      <right style="thin"/>
      <top>
        <color indexed="63"/>
      </top>
      <bottom style="dashDotDot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DashDotDot"/>
      <top style="double"/>
      <bottom>
        <color indexed="63"/>
      </bottom>
    </border>
    <border>
      <left style="mediumDashDotDot"/>
      <right style="thin"/>
      <top style="double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DashDotDot"/>
      <top style="double"/>
      <bottom style="thin"/>
    </border>
    <border>
      <left>
        <color indexed="63"/>
      </left>
      <right style="dotted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1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9" fontId="1" fillId="0" borderId="25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right"/>
    </xf>
    <xf numFmtId="9" fontId="3" fillId="0" borderId="2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10" fontId="1" fillId="0" borderId="12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5" fillId="0" borderId="35" xfId="0" applyFont="1" applyBorder="1" applyAlignment="1">
      <alignment/>
    </xf>
    <xf numFmtId="9" fontId="3" fillId="0" borderId="19" xfId="0" applyNumberFormat="1" applyFont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9" fontId="1" fillId="0" borderId="39" xfId="0" applyNumberFormat="1" applyFont="1" applyBorder="1" applyAlignment="1">
      <alignment horizontal="center"/>
    </xf>
    <xf numFmtId="9" fontId="3" fillId="0" borderId="24" xfId="0" applyNumberFormat="1" applyFont="1" applyBorder="1" applyAlignment="1">
      <alignment horizontal="right"/>
    </xf>
    <xf numFmtId="9" fontId="3" fillId="0" borderId="14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10" fontId="1" fillId="0" borderId="26" xfId="0" applyNumberFormat="1" applyFont="1" applyBorder="1" applyAlignment="1">
      <alignment/>
    </xf>
    <xf numFmtId="0" fontId="4" fillId="0" borderId="40" xfId="0" applyFont="1" applyBorder="1" applyAlignment="1">
      <alignment/>
    </xf>
    <xf numFmtId="9" fontId="3" fillId="0" borderId="41" xfId="54" applyFont="1" applyBorder="1" applyAlignment="1">
      <alignment horizontal="center"/>
    </xf>
    <xf numFmtId="9" fontId="3" fillId="0" borderId="42" xfId="0" applyNumberFormat="1" applyFont="1" applyBorder="1" applyAlignment="1">
      <alignment horizontal="center"/>
    </xf>
    <xf numFmtId="9" fontId="1" fillId="0" borderId="4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9" fontId="3" fillId="0" borderId="25" xfId="0" applyNumberFormat="1" applyFont="1" applyBorder="1" applyAlignment="1">
      <alignment horizontal="right"/>
    </xf>
    <xf numFmtId="9" fontId="1" fillId="0" borderId="42" xfId="0" applyNumberFormat="1" applyFont="1" applyBorder="1" applyAlignment="1">
      <alignment horizontal="right"/>
    </xf>
    <xf numFmtId="9" fontId="1" fillId="0" borderId="39" xfId="0" applyNumberFormat="1" applyFont="1" applyBorder="1" applyAlignment="1">
      <alignment horizontal="right"/>
    </xf>
    <xf numFmtId="9" fontId="1" fillId="0" borderId="15" xfId="0" applyNumberFormat="1" applyFont="1" applyBorder="1" applyAlignment="1">
      <alignment horizontal="right"/>
    </xf>
    <xf numFmtId="9" fontId="1" fillId="0" borderId="44" xfId="0" applyNumberFormat="1" applyFont="1" applyBorder="1" applyAlignment="1">
      <alignment horizontal="center"/>
    </xf>
    <xf numFmtId="0" fontId="7" fillId="0" borderId="0" xfId="0" applyFont="1" applyAlignment="1">
      <alignment/>
    </xf>
    <xf numFmtId="9" fontId="1" fillId="0" borderId="38" xfId="54" applyFont="1" applyBorder="1" applyAlignment="1">
      <alignment horizontal="center"/>
    </xf>
    <xf numFmtId="9" fontId="1" fillId="0" borderId="45" xfId="54" applyFont="1" applyBorder="1" applyAlignment="1">
      <alignment horizontal="right"/>
    </xf>
    <xf numFmtId="9" fontId="3" fillId="0" borderId="4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9" fontId="1" fillId="0" borderId="45" xfId="54" applyFont="1" applyBorder="1" applyAlignment="1">
      <alignment horizontal="center"/>
    </xf>
    <xf numFmtId="9" fontId="3" fillId="0" borderId="60" xfId="54" applyFont="1" applyBorder="1" applyAlignment="1">
      <alignment horizontal="center"/>
    </xf>
    <xf numFmtId="9" fontId="3" fillId="0" borderId="6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54" applyFont="1" applyBorder="1" applyAlignment="1">
      <alignment horizontal="center"/>
    </xf>
    <xf numFmtId="3" fontId="1" fillId="0" borderId="62" xfId="0" applyNumberFormat="1" applyFont="1" applyBorder="1" applyAlignment="1">
      <alignment horizontal="center"/>
    </xf>
    <xf numFmtId="0" fontId="1" fillId="0" borderId="63" xfId="0" applyFont="1" applyBorder="1" applyAlignment="1">
      <alignment/>
    </xf>
    <xf numFmtId="3" fontId="1" fillId="0" borderId="64" xfId="0" applyNumberFormat="1" applyFont="1" applyBorder="1" applyAlignment="1">
      <alignment/>
    </xf>
    <xf numFmtId="166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166" fontId="1" fillId="0" borderId="67" xfId="0" applyNumberFormat="1" applyFont="1" applyBorder="1" applyAlignment="1">
      <alignment/>
    </xf>
    <xf numFmtId="166" fontId="1" fillId="0" borderId="68" xfId="0" applyNumberFormat="1" applyFont="1" applyBorder="1" applyAlignment="1">
      <alignment/>
    </xf>
    <xf numFmtId="166" fontId="1" fillId="0" borderId="26" xfId="0" applyNumberFormat="1" applyFont="1" applyBorder="1" applyAlignment="1">
      <alignment/>
    </xf>
    <xf numFmtId="9" fontId="1" fillId="0" borderId="0" xfId="0" applyNumberFormat="1" applyFont="1" applyBorder="1" applyAlignment="1">
      <alignment horizontal="right"/>
    </xf>
    <xf numFmtId="9" fontId="1" fillId="0" borderId="0" xfId="54" applyFont="1" applyBorder="1" applyAlignment="1">
      <alignment horizontal="right"/>
    </xf>
    <xf numFmtId="3" fontId="1" fillId="0" borderId="69" xfId="0" applyNumberFormat="1" applyFont="1" applyBorder="1" applyAlignment="1">
      <alignment horizontal="center"/>
    </xf>
    <xf numFmtId="3" fontId="1" fillId="0" borderId="70" xfId="0" applyNumberFormat="1" applyFont="1" applyBorder="1" applyAlignment="1">
      <alignment/>
    </xf>
    <xf numFmtId="166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166" fontId="1" fillId="0" borderId="73" xfId="0" applyNumberFormat="1" applyFont="1" applyBorder="1" applyAlignment="1">
      <alignment/>
    </xf>
    <xf numFmtId="166" fontId="1" fillId="0" borderId="69" xfId="0" applyNumberFormat="1" applyFont="1" applyBorder="1" applyAlignment="1">
      <alignment/>
    </xf>
    <xf numFmtId="9" fontId="1" fillId="0" borderId="74" xfId="54" applyFont="1" applyBorder="1" applyAlignment="1">
      <alignment horizontal="center"/>
    </xf>
    <xf numFmtId="9" fontId="1" fillId="0" borderId="0" xfId="54" applyFont="1" applyAlignment="1">
      <alignment/>
    </xf>
    <xf numFmtId="9" fontId="1" fillId="0" borderId="0" xfId="0" applyNumberFormat="1" applyFont="1" applyAlignment="1">
      <alignment/>
    </xf>
    <xf numFmtId="9" fontId="3" fillId="0" borderId="35" xfId="54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69" xfId="0" applyFont="1" applyBorder="1" applyAlignment="1">
      <alignment horizontal="center"/>
    </xf>
    <xf numFmtId="9" fontId="1" fillId="0" borderId="74" xfId="54" applyFont="1" applyBorder="1" applyAlignment="1">
      <alignment/>
    </xf>
    <xf numFmtId="9" fontId="1" fillId="0" borderId="15" xfId="0" applyNumberFormat="1" applyFont="1" applyBorder="1" applyAlignment="1">
      <alignment/>
    </xf>
    <xf numFmtId="3" fontId="1" fillId="0" borderId="75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166" fontId="1" fillId="0" borderId="77" xfId="0" applyNumberFormat="1" applyFont="1" applyBorder="1" applyAlignment="1">
      <alignment/>
    </xf>
    <xf numFmtId="166" fontId="1" fillId="0" borderId="75" xfId="0" applyNumberFormat="1" applyFont="1" applyBorder="1" applyAlignment="1">
      <alignment/>
    </xf>
    <xf numFmtId="9" fontId="1" fillId="0" borderId="35" xfId="54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0" xfId="54" applyFont="1" applyAlignment="1">
      <alignment horizontal="center"/>
    </xf>
    <xf numFmtId="9" fontId="1" fillId="0" borderId="0" xfId="54" applyFont="1" applyAlignment="1">
      <alignment horizontal="right"/>
    </xf>
    <xf numFmtId="9" fontId="1" fillId="0" borderId="74" xfId="0" applyNumberFormat="1" applyFont="1" applyBorder="1" applyAlignment="1">
      <alignment horizontal="center"/>
    </xf>
    <xf numFmtId="9" fontId="1" fillId="0" borderId="43" xfId="54" applyFont="1" applyBorder="1" applyAlignment="1">
      <alignment horizontal="right"/>
    </xf>
    <xf numFmtId="9" fontId="1" fillId="0" borderId="44" xfId="54" applyFont="1" applyBorder="1" applyAlignment="1">
      <alignment horizontal="center"/>
    </xf>
    <xf numFmtId="9" fontId="3" fillId="0" borderId="35" xfId="54" applyFont="1" applyBorder="1" applyAlignment="1">
      <alignment/>
    </xf>
    <xf numFmtId="9" fontId="1" fillId="0" borderId="35" xfId="54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0" xfId="54" applyFont="1" applyBorder="1" applyAlignment="1">
      <alignment/>
    </xf>
    <xf numFmtId="0" fontId="1" fillId="0" borderId="76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9" fontId="1" fillId="0" borderId="78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10" fontId="2" fillId="0" borderId="0" xfId="0" applyNumberFormat="1" applyFont="1" applyAlignment="1">
      <alignment/>
    </xf>
    <xf numFmtId="0" fontId="1" fillId="0" borderId="79" xfId="0" applyFont="1" applyBorder="1" applyAlignment="1">
      <alignment/>
    </xf>
    <xf numFmtId="166" fontId="1" fillId="0" borderId="57" xfId="0" applyNumberFormat="1" applyFont="1" applyBorder="1" applyAlignment="1">
      <alignment/>
    </xf>
    <xf numFmtId="3" fontId="1" fillId="0" borderId="26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/>
    </xf>
    <xf numFmtId="166" fontId="1" fillId="0" borderId="81" xfId="0" applyNumberFormat="1" applyFont="1" applyBorder="1" applyAlignment="1">
      <alignment/>
    </xf>
    <xf numFmtId="9" fontId="3" fillId="0" borderId="0" xfId="54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1" fillId="0" borderId="43" xfId="0" applyNumberFormat="1" applyFont="1" applyBorder="1" applyAlignment="1">
      <alignment/>
    </xf>
    <xf numFmtId="0" fontId="6" fillId="0" borderId="0" xfId="0" applyFont="1" applyAlignment="1">
      <alignment/>
    </xf>
    <xf numFmtId="9" fontId="3" fillId="0" borderId="14" xfId="54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9" fontId="1" fillId="0" borderId="43" xfId="0" applyNumberFormat="1" applyFont="1" applyBorder="1" applyAlignment="1">
      <alignment horizontal="right"/>
    </xf>
    <xf numFmtId="9" fontId="1" fillId="0" borderId="82" xfId="0" applyNumberFormat="1" applyFont="1" applyBorder="1" applyAlignment="1">
      <alignment horizontal="right"/>
    </xf>
    <xf numFmtId="9" fontId="3" fillId="0" borderId="39" xfId="0" applyNumberFormat="1" applyFont="1" applyBorder="1" applyAlignment="1">
      <alignment horizontal="right"/>
    </xf>
    <xf numFmtId="9" fontId="3" fillId="0" borderId="42" xfId="0" applyNumberFormat="1" applyFont="1" applyBorder="1" applyAlignment="1">
      <alignment horizontal="right"/>
    </xf>
    <xf numFmtId="9" fontId="1" fillId="0" borderId="83" xfId="0" applyNumberFormat="1" applyFont="1" applyBorder="1" applyAlignment="1">
      <alignment horizontal="right"/>
    </xf>
    <xf numFmtId="9" fontId="1" fillId="0" borderId="43" xfId="54" applyFont="1" applyBorder="1" applyAlignment="1">
      <alignment/>
    </xf>
    <xf numFmtId="9" fontId="3" fillId="0" borderId="42" xfId="54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9" fontId="1" fillId="0" borderId="4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center" vertical="top"/>
    </xf>
    <xf numFmtId="0" fontId="1" fillId="0" borderId="7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8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78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4" fontId="1" fillId="0" borderId="85" xfId="0" applyNumberFormat="1" applyFont="1" applyBorder="1" applyAlignment="1">
      <alignment horizontal="center"/>
    </xf>
    <xf numFmtId="4" fontId="1" fillId="0" borderId="78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5" xfId="0" applyNumberFormat="1" applyFont="1" applyBorder="1" applyAlignment="1">
      <alignment/>
    </xf>
    <xf numFmtId="4" fontId="1" fillId="0" borderId="86" xfId="0" applyNumberFormat="1" applyFont="1" applyBorder="1" applyAlignment="1">
      <alignment horizontal="center"/>
    </xf>
    <xf numFmtId="4" fontId="1" fillId="0" borderId="86" xfId="0" applyNumberFormat="1" applyFont="1" applyBorder="1" applyAlignment="1">
      <alignment horizontal="right"/>
    </xf>
    <xf numFmtId="4" fontId="3" fillId="0" borderId="87" xfId="0" applyNumberFormat="1" applyFont="1" applyBorder="1" applyAlignment="1">
      <alignment horizontal="center"/>
    </xf>
    <xf numFmtId="4" fontId="1" fillId="0" borderId="86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8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88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3" fillId="0" borderId="8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8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85" xfId="0" applyNumberFormat="1" applyFont="1" applyBorder="1" applyAlignment="1">
      <alignment horizontal="right"/>
    </xf>
    <xf numFmtId="4" fontId="3" fillId="0" borderId="89" xfId="0" applyNumberFormat="1" applyFont="1" applyBorder="1" applyAlignment="1">
      <alignment horizontal="center"/>
    </xf>
    <xf numFmtId="4" fontId="3" fillId="0" borderId="6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9" fontId="1" fillId="0" borderId="12" xfId="54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3" fillId="0" borderId="3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1" fillId="0" borderId="88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0" xfId="0" applyNumberFormat="1" applyFont="1" applyBorder="1" applyAlignment="1">
      <alignment horizontal="center"/>
    </xf>
    <xf numFmtId="4" fontId="3" fillId="0" borderId="91" xfId="0" applyNumberFormat="1" applyFont="1" applyBorder="1" applyAlignment="1">
      <alignment horizontal="center"/>
    </xf>
    <xf numFmtId="9" fontId="1" fillId="0" borderId="92" xfId="0" applyNumberFormat="1" applyFont="1" applyBorder="1" applyAlignment="1">
      <alignment vertical="center"/>
    </xf>
    <xf numFmtId="9" fontId="1" fillId="0" borderId="41" xfId="0" applyNumberFormat="1" applyFont="1" applyBorder="1" applyAlignment="1">
      <alignment horizontal="center" vertical="center"/>
    </xf>
    <xf numFmtId="9" fontId="3" fillId="0" borderId="41" xfId="0" applyNumberFormat="1" applyFont="1" applyBorder="1" applyAlignment="1">
      <alignment horizontal="center"/>
    </xf>
    <xf numFmtId="9" fontId="1" fillId="0" borderId="45" xfId="0" applyNumberFormat="1" applyFont="1" applyBorder="1" applyAlignment="1">
      <alignment horizontal="center"/>
    </xf>
    <xf numFmtId="9" fontId="1" fillId="0" borderId="45" xfId="0" applyNumberFormat="1" applyFont="1" applyBorder="1" applyAlignment="1">
      <alignment horizontal="right"/>
    </xf>
    <xf numFmtId="9" fontId="1" fillId="0" borderId="93" xfId="0" applyNumberFormat="1" applyFont="1" applyBorder="1" applyAlignment="1">
      <alignment horizontal="right"/>
    </xf>
    <xf numFmtId="9" fontId="3" fillId="0" borderId="41" xfId="54" applyNumberFormat="1" applyFont="1" applyBorder="1" applyAlignment="1">
      <alignment horizontal="center"/>
    </xf>
    <xf numFmtId="9" fontId="1" fillId="0" borderId="38" xfId="0" applyNumberFormat="1" applyFont="1" applyBorder="1" applyAlignment="1">
      <alignment horizontal="right"/>
    </xf>
    <xf numFmtId="9" fontId="3" fillId="0" borderId="9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78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1" fontId="3" fillId="0" borderId="61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9" fontId="3" fillId="0" borderId="95" xfId="0" applyNumberFormat="1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 vertical="center" wrapText="1"/>
    </xf>
    <xf numFmtId="4" fontId="3" fillId="0" borderId="6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3" fillId="0" borderId="98" xfId="0" applyNumberFormat="1" applyFont="1" applyBorder="1" applyAlignment="1">
      <alignment horizontal="center"/>
    </xf>
    <xf numFmtId="9" fontId="3" fillId="0" borderId="9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/>
    </xf>
    <xf numFmtId="3" fontId="1" fillId="0" borderId="78" xfId="0" applyNumberFormat="1" applyFont="1" applyBorder="1" applyAlignment="1">
      <alignment horizontal="center"/>
    </xf>
    <xf numFmtId="9" fontId="1" fillId="0" borderId="10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/>
    </xf>
    <xf numFmtId="9" fontId="1" fillId="0" borderId="100" xfId="0" applyNumberFormat="1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4" fontId="1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3" fillId="0" borderId="101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top"/>
    </xf>
    <xf numFmtId="9" fontId="3" fillId="0" borderId="41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/>
    </xf>
    <xf numFmtId="4" fontId="1" fillId="0" borderId="102" xfId="0" applyNumberFormat="1" applyFont="1" applyBorder="1" applyAlignment="1">
      <alignment horizontal="right"/>
    </xf>
    <xf numFmtId="9" fontId="1" fillId="0" borderId="17" xfId="0" applyNumberFormat="1" applyFont="1" applyBorder="1" applyAlignment="1">
      <alignment horizontal="right"/>
    </xf>
    <xf numFmtId="4" fontId="1" fillId="0" borderId="103" xfId="0" applyNumberFormat="1" applyFont="1" applyBorder="1" applyAlignment="1">
      <alignment horizontal="right"/>
    </xf>
    <xf numFmtId="9" fontId="1" fillId="0" borderId="26" xfId="0" applyNumberFormat="1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1" fontId="1" fillId="0" borderId="75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left" vertical="center" wrapText="1"/>
    </xf>
    <xf numFmtId="4" fontId="1" fillId="0" borderId="75" xfId="0" applyNumberFormat="1" applyFont="1" applyBorder="1" applyAlignment="1">
      <alignment horizontal="right"/>
    </xf>
    <xf numFmtId="4" fontId="1" fillId="0" borderId="104" xfId="0" applyNumberFormat="1" applyFont="1" applyBorder="1" applyAlignment="1">
      <alignment horizontal="right"/>
    </xf>
    <xf numFmtId="9" fontId="1" fillId="0" borderId="79" xfId="0" applyNumberFormat="1" applyFont="1" applyBorder="1" applyAlignment="1">
      <alignment horizontal="right"/>
    </xf>
    <xf numFmtId="4" fontId="1" fillId="0" borderId="105" xfId="0" applyNumberFormat="1" applyFont="1" applyBorder="1" applyAlignment="1">
      <alignment horizontal="right"/>
    </xf>
    <xf numFmtId="9" fontId="1" fillId="0" borderId="76" xfId="0" applyNumberFormat="1" applyFont="1" applyBorder="1" applyAlignment="1">
      <alignment horizontal="right"/>
    </xf>
    <xf numFmtId="9" fontId="1" fillId="0" borderId="104" xfId="0" applyNumberFormat="1" applyFont="1" applyBorder="1" applyAlignment="1">
      <alignment horizontal="right"/>
    </xf>
    <xf numFmtId="9" fontId="1" fillId="0" borderId="47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 wrapText="1"/>
    </xf>
    <xf numFmtId="9" fontId="1" fillId="0" borderId="47" xfId="54" applyFont="1" applyBorder="1" applyAlignment="1">
      <alignment horizontal="center"/>
    </xf>
    <xf numFmtId="9" fontId="1" fillId="0" borderId="106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87" xfId="0" applyNumberFormat="1" applyFont="1" applyBorder="1" applyAlignment="1">
      <alignment/>
    </xf>
    <xf numFmtId="9" fontId="3" fillId="0" borderId="35" xfId="54" applyFont="1" applyBorder="1" applyAlignment="1">
      <alignment/>
    </xf>
    <xf numFmtId="4" fontId="3" fillId="0" borderId="35" xfId="0" applyNumberFormat="1" applyFont="1" applyBorder="1" applyAlignment="1">
      <alignment/>
    </xf>
    <xf numFmtId="9" fontId="3" fillId="0" borderId="14" xfId="0" applyNumberFormat="1" applyFont="1" applyBorder="1" applyAlignment="1">
      <alignment/>
    </xf>
    <xf numFmtId="9" fontId="3" fillId="0" borderId="3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88" xfId="0" applyNumberFormat="1" applyFont="1" applyBorder="1" applyAlignment="1">
      <alignment horizontal="center"/>
    </xf>
    <xf numFmtId="4" fontId="3" fillId="0" borderId="107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/>
    </xf>
    <xf numFmtId="4" fontId="1" fillId="0" borderId="88" xfId="0" applyNumberFormat="1" applyFont="1" applyBorder="1" applyAlignment="1">
      <alignment/>
    </xf>
    <xf numFmtId="9" fontId="1" fillId="0" borderId="45" xfId="54" applyFont="1" applyBorder="1" applyAlignment="1">
      <alignment/>
    </xf>
    <xf numFmtId="9" fontId="1" fillId="0" borderId="12" xfId="54" applyFont="1" applyBorder="1" applyAlignment="1">
      <alignment horizontal="right"/>
    </xf>
    <xf numFmtId="0" fontId="1" fillId="0" borderId="15" xfId="0" applyFont="1" applyBorder="1" applyAlignment="1">
      <alignment/>
    </xf>
    <xf numFmtId="1" fontId="1" fillId="0" borderId="15" xfId="0" applyNumberFormat="1" applyFont="1" applyBorder="1" applyAlignment="1">
      <alignment vertical="top"/>
    </xf>
    <xf numFmtId="4" fontId="1" fillId="0" borderId="2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9" fontId="1" fillId="0" borderId="74" xfId="54" applyFont="1" applyBorder="1" applyAlignment="1">
      <alignment/>
    </xf>
    <xf numFmtId="9" fontId="1" fillId="0" borderId="15" xfId="54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4" fontId="3" fillId="0" borderId="108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9" fontId="3" fillId="0" borderId="109" xfId="54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9" fontId="1" fillId="0" borderId="49" xfId="0" applyNumberFormat="1" applyFont="1" applyBorder="1" applyAlignment="1">
      <alignment horizontal="center"/>
    </xf>
    <xf numFmtId="4" fontId="1" fillId="0" borderId="108" xfId="0" applyNumberFormat="1" applyFont="1" applyBorder="1" applyAlignment="1">
      <alignment horizontal="center"/>
    </xf>
    <xf numFmtId="9" fontId="1" fillId="0" borderId="109" xfId="54" applyFont="1" applyBorder="1" applyAlignment="1">
      <alignment horizontal="center"/>
    </xf>
    <xf numFmtId="4" fontId="3" fillId="0" borderId="33" xfId="0" applyNumberFormat="1" applyFont="1" applyBorder="1" applyAlignment="1">
      <alignment horizontal="right" vertical="center"/>
    </xf>
    <xf numFmtId="9" fontId="3" fillId="0" borderId="41" xfId="54" applyFont="1" applyBorder="1" applyAlignment="1">
      <alignment horizontal="right" vertical="center"/>
    </xf>
    <xf numFmtId="9" fontId="3" fillId="0" borderId="42" xfId="0" applyNumberFormat="1" applyFont="1" applyBorder="1" applyAlignment="1">
      <alignment horizontal="right" vertical="center"/>
    </xf>
    <xf numFmtId="9" fontId="3" fillId="0" borderId="110" xfId="54" applyFont="1" applyBorder="1" applyAlignment="1">
      <alignment horizontal="right" vertical="center"/>
    </xf>
    <xf numFmtId="9" fontId="3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69" xfId="0" applyFont="1" applyBorder="1" applyAlignment="1">
      <alignment/>
    </xf>
    <xf numFmtId="4" fontId="4" fillId="0" borderId="69" xfId="0" applyNumberFormat="1" applyFont="1" applyBorder="1" applyAlignment="1">
      <alignment/>
    </xf>
    <xf numFmtId="9" fontId="4" fillId="0" borderId="69" xfId="0" applyNumberFormat="1" applyFont="1" applyBorder="1" applyAlignment="1">
      <alignment horizontal="center" vertical="center"/>
    </xf>
    <xf numFmtId="0" fontId="15" fillId="0" borderId="69" xfId="0" applyFont="1" applyBorder="1" applyAlignment="1">
      <alignment/>
    </xf>
    <xf numFmtId="4" fontId="15" fillId="0" borderId="69" xfId="0" applyNumberFormat="1" applyFont="1" applyBorder="1" applyAlignment="1">
      <alignment/>
    </xf>
    <xf numFmtId="9" fontId="15" fillId="0" borderId="69" xfId="0" applyNumberFormat="1" applyFont="1" applyBorder="1" applyAlignment="1">
      <alignment horizontal="center" vertical="center"/>
    </xf>
    <xf numFmtId="4" fontId="4" fillId="0" borderId="72" xfId="0" applyNumberFormat="1" applyFont="1" applyBorder="1" applyAlignment="1">
      <alignment/>
    </xf>
    <xf numFmtId="9" fontId="4" fillId="0" borderId="72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 wrapText="1"/>
    </xf>
    <xf numFmtId="4" fontId="4" fillId="0" borderId="69" xfId="0" applyNumberFormat="1" applyFont="1" applyBorder="1" applyAlignment="1">
      <alignment vertical="center"/>
    </xf>
    <xf numFmtId="4" fontId="15" fillId="0" borderId="69" xfId="0" applyNumberFormat="1" applyFont="1" applyBorder="1" applyAlignment="1">
      <alignment vertical="center"/>
    </xf>
    <xf numFmtId="9" fontId="15" fillId="0" borderId="69" xfId="0" applyNumberFormat="1" applyFont="1" applyBorder="1" applyAlignment="1">
      <alignment horizontal="center"/>
    </xf>
    <xf numFmtId="4" fontId="4" fillId="0" borderId="69" xfId="0" applyNumberFormat="1" applyFont="1" applyBorder="1" applyAlignment="1">
      <alignment horizontal="right" vertical="center"/>
    </xf>
    <xf numFmtId="9" fontId="4" fillId="0" borderId="69" xfId="0" applyNumberFormat="1" applyFont="1" applyBorder="1" applyAlignment="1">
      <alignment horizontal="center"/>
    </xf>
    <xf numFmtId="9" fontId="3" fillId="0" borderId="106" xfId="0" applyNumberFormat="1" applyFont="1" applyBorder="1" applyAlignment="1">
      <alignment horizontal="center"/>
    </xf>
    <xf numFmtId="9" fontId="1" fillId="0" borderId="81" xfId="0" applyNumberFormat="1" applyFont="1" applyBorder="1" applyAlignment="1">
      <alignment/>
    </xf>
    <xf numFmtId="9" fontId="1" fillId="0" borderId="57" xfId="0" applyNumberFormat="1" applyFont="1" applyBorder="1" applyAlignment="1">
      <alignment/>
    </xf>
    <xf numFmtId="9" fontId="1" fillId="0" borderId="38" xfId="0" applyNumberFormat="1" applyFont="1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83" xfId="0" applyFont="1" applyBorder="1" applyAlignment="1">
      <alignment horizontal="center" vertical="top"/>
    </xf>
    <xf numFmtId="0" fontId="1" fillId="0" borderId="83" xfId="0" applyFont="1" applyBorder="1" applyAlignment="1">
      <alignment horizontal="left" vertical="top" wrapText="1"/>
    </xf>
    <xf numFmtId="4" fontId="1" fillId="0" borderId="83" xfId="0" applyNumberFormat="1" applyFont="1" applyBorder="1" applyAlignment="1">
      <alignment horizontal="right"/>
    </xf>
    <xf numFmtId="4" fontId="1" fillId="0" borderId="111" xfId="0" applyNumberFormat="1" applyFont="1" applyBorder="1" applyAlignment="1">
      <alignment horizontal="right"/>
    </xf>
    <xf numFmtId="9" fontId="1" fillId="0" borderId="112" xfId="0" applyNumberFormat="1" applyFont="1" applyBorder="1" applyAlignment="1">
      <alignment horizontal="right"/>
    </xf>
    <xf numFmtId="4" fontId="1" fillId="0" borderId="107" xfId="0" applyNumberFormat="1" applyFont="1" applyBorder="1" applyAlignment="1">
      <alignment horizontal="right"/>
    </xf>
    <xf numFmtId="9" fontId="1" fillId="0" borderId="45" xfId="0" applyNumberFormat="1" applyFont="1" applyBorder="1" applyAlignment="1">
      <alignment/>
    </xf>
    <xf numFmtId="1" fontId="1" fillId="0" borderId="83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 wrapText="1"/>
    </xf>
    <xf numFmtId="9" fontId="3" fillId="0" borderId="25" xfId="0" applyNumberFormat="1" applyFont="1" applyBorder="1" applyAlignment="1">
      <alignment horizontal="center"/>
    </xf>
    <xf numFmtId="4" fontId="3" fillId="0" borderId="83" xfId="0" applyNumberFormat="1" applyFont="1" applyBorder="1" applyAlignment="1">
      <alignment horizontal="right"/>
    </xf>
    <xf numFmtId="9" fontId="3" fillId="0" borderId="112" xfId="0" applyNumberFormat="1" applyFont="1" applyBorder="1" applyAlignment="1">
      <alignment horizontal="right"/>
    </xf>
    <xf numFmtId="9" fontId="1" fillId="0" borderId="106" xfId="54" applyFont="1" applyBorder="1" applyAlignment="1">
      <alignment horizontal="center"/>
    </xf>
    <xf numFmtId="9" fontId="1" fillId="0" borderId="25" xfId="54" applyFont="1" applyBorder="1" applyAlignment="1">
      <alignment/>
    </xf>
    <xf numFmtId="4" fontId="3" fillId="0" borderId="8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9" xfId="0" applyFont="1" applyBorder="1" applyAlignment="1">
      <alignment horizontal="center"/>
    </xf>
    <xf numFmtId="0" fontId="3" fillId="0" borderId="27" xfId="0" applyFont="1" applyBorder="1" applyAlignment="1">
      <alignment/>
    </xf>
    <xf numFmtId="3" fontId="3" fillId="0" borderId="70" xfId="0" applyNumberFormat="1" applyFont="1" applyBorder="1" applyAlignment="1">
      <alignment/>
    </xf>
    <xf numFmtId="166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166" fontId="3" fillId="0" borderId="73" xfId="0" applyNumberFormat="1" applyFont="1" applyBorder="1" applyAlignment="1">
      <alignment/>
    </xf>
    <xf numFmtId="166" fontId="3" fillId="0" borderId="69" xfId="0" applyNumberFormat="1" applyFont="1" applyBorder="1" applyAlignment="1">
      <alignment/>
    </xf>
    <xf numFmtId="9" fontId="1" fillId="0" borderId="93" xfId="54" applyFont="1" applyBorder="1" applyAlignment="1">
      <alignment horizontal="right"/>
    </xf>
    <xf numFmtId="9" fontId="1" fillId="0" borderId="43" xfId="0" applyNumberFormat="1" applyFont="1" applyBorder="1" applyAlignment="1">
      <alignment/>
    </xf>
    <xf numFmtId="0" fontId="1" fillId="0" borderId="83" xfId="0" applyFont="1" applyBorder="1" applyAlignment="1">
      <alignment horizontal="left" vertical="center" wrapText="1"/>
    </xf>
    <xf numFmtId="9" fontId="1" fillId="0" borderId="113" xfId="0" applyNumberFormat="1" applyFont="1" applyBorder="1" applyAlignment="1">
      <alignment horizontal="center"/>
    </xf>
    <xf numFmtId="4" fontId="1" fillId="0" borderId="114" xfId="0" applyNumberFormat="1" applyFont="1" applyBorder="1" applyAlignment="1">
      <alignment horizontal="center"/>
    </xf>
    <xf numFmtId="4" fontId="1" fillId="0" borderId="83" xfId="0" applyNumberFormat="1" applyFont="1" applyBorder="1" applyAlignment="1">
      <alignment horizontal="center"/>
    </xf>
    <xf numFmtId="9" fontId="1" fillId="0" borderId="100" xfId="54" applyFont="1" applyBorder="1" applyAlignment="1">
      <alignment horizontal="center"/>
    </xf>
    <xf numFmtId="4" fontId="1" fillId="0" borderId="111" xfId="0" applyNumberFormat="1" applyFont="1" applyBorder="1" applyAlignment="1">
      <alignment horizontal="center"/>
    </xf>
    <xf numFmtId="9" fontId="1" fillId="0" borderId="83" xfId="0" applyNumberFormat="1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9" fontId="1" fillId="0" borderId="113" xfId="0" applyNumberFormat="1" applyFont="1" applyBorder="1" applyAlignment="1">
      <alignment horizontal="right"/>
    </xf>
    <xf numFmtId="4" fontId="3" fillId="0" borderId="114" xfId="0" applyNumberFormat="1" applyFont="1" applyBorder="1" applyAlignment="1">
      <alignment horizontal="center"/>
    </xf>
    <xf numFmtId="4" fontId="3" fillId="0" borderId="83" xfId="0" applyNumberFormat="1" applyFont="1" applyBorder="1" applyAlignment="1">
      <alignment horizontal="center"/>
    </xf>
    <xf numFmtId="9" fontId="3" fillId="0" borderId="113" xfId="54" applyFont="1" applyBorder="1" applyAlignment="1">
      <alignment horizontal="center"/>
    </xf>
    <xf numFmtId="9" fontId="3" fillId="0" borderId="83" xfId="0" applyNumberFormat="1" applyFont="1" applyBorder="1" applyAlignment="1">
      <alignment horizontal="center"/>
    </xf>
    <xf numFmtId="4" fontId="1" fillId="0" borderId="115" xfId="0" applyNumberFormat="1" applyFont="1" applyBorder="1" applyAlignment="1">
      <alignment horizontal="center"/>
    </xf>
    <xf numFmtId="4" fontId="1" fillId="0" borderId="115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  <xf numFmtId="4" fontId="1" fillId="0" borderId="50" xfId="0" applyNumberFormat="1" applyFont="1" applyBorder="1" applyAlignment="1">
      <alignment horizontal="right"/>
    </xf>
    <xf numFmtId="9" fontId="1" fillId="0" borderId="25" xfId="0" applyNumberFormat="1" applyFont="1" applyBorder="1" applyAlignment="1">
      <alignment/>
    </xf>
    <xf numFmtId="49" fontId="1" fillId="0" borderId="83" xfId="0" applyNumberFormat="1" applyFont="1" applyBorder="1" applyAlignment="1">
      <alignment horizontal="center"/>
    </xf>
    <xf numFmtId="0" fontId="1" fillId="0" borderId="83" xfId="0" applyFont="1" applyBorder="1" applyAlignment="1">
      <alignment horizontal="left"/>
    </xf>
    <xf numFmtId="3" fontId="1" fillId="0" borderId="8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" fontId="1" fillId="0" borderId="83" xfId="0" applyNumberFormat="1" applyFont="1" applyBorder="1" applyAlignment="1">
      <alignment horizontal="center"/>
    </xf>
    <xf numFmtId="0" fontId="1" fillId="0" borderId="112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9" fontId="3" fillId="0" borderId="41" xfId="0" applyNumberFormat="1" applyFont="1" applyBorder="1" applyAlignment="1">
      <alignment/>
    </xf>
    <xf numFmtId="49" fontId="1" fillId="0" borderId="83" xfId="0" applyNumberFormat="1" applyFont="1" applyBorder="1" applyAlignment="1">
      <alignment horizontal="center" vertical="top"/>
    </xf>
    <xf numFmtId="4" fontId="1" fillId="0" borderId="107" xfId="0" applyNumberFormat="1" applyFont="1" applyBorder="1" applyAlignment="1">
      <alignment horizontal="center"/>
    </xf>
    <xf numFmtId="9" fontId="1" fillId="0" borderId="112" xfId="0" applyNumberFormat="1" applyFont="1" applyBorder="1" applyAlignment="1">
      <alignment horizontal="center"/>
    </xf>
    <xf numFmtId="9" fontId="3" fillId="0" borderId="24" xfId="0" applyNumberFormat="1" applyFont="1" applyBorder="1" applyAlignment="1">
      <alignment/>
    </xf>
    <xf numFmtId="9" fontId="1" fillId="0" borderId="4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1" fillId="0" borderId="78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/>
    </xf>
    <xf numFmtId="9" fontId="1" fillId="0" borderId="45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right" vertical="center"/>
    </xf>
    <xf numFmtId="9" fontId="1" fillId="0" borderId="24" xfId="0" applyNumberFormat="1" applyFont="1" applyBorder="1" applyAlignment="1">
      <alignment horizontal="right" vertical="center"/>
    </xf>
    <xf numFmtId="9" fontId="3" fillId="0" borderId="24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1" fillId="0" borderId="116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78" xfId="0" applyNumberFormat="1" applyFont="1" applyBorder="1" applyAlignment="1">
      <alignment horizontal="right" vertical="center"/>
    </xf>
    <xf numFmtId="9" fontId="1" fillId="0" borderId="117" xfId="54" applyFont="1" applyBorder="1" applyAlignment="1">
      <alignment horizontal="right"/>
    </xf>
    <xf numFmtId="9" fontId="1" fillId="0" borderId="25" xfId="54" applyFont="1" applyBorder="1" applyAlignment="1">
      <alignment horizontal="right"/>
    </xf>
    <xf numFmtId="4" fontId="1" fillId="0" borderId="115" xfId="0" applyNumberFormat="1" applyFont="1" applyBorder="1" applyAlignment="1">
      <alignment/>
    </xf>
    <xf numFmtId="9" fontId="1" fillId="0" borderId="44" xfId="0" applyNumberFormat="1" applyFont="1" applyBorder="1" applyAlignment="1">
      <alignment horizontal="right"/>
    </xf>
    <xf numFmtId="0" fontId="1" fillId="0" borderId="83" xfId="0" applyFont="1" applyBorder="1" applyAlignment="1">
      <alignment horizontal="left" wrapText="1"/>
    </xf>
    <xf numFmtId="4" fontId="1" fillId="0" borderId="111" xfId="0" applyNumberFormat="1" applyFont="1" applyBorder="1" applyAlignment="1">
      <alignment/>
    </xf>
    <xf numFmtId="4" fontId="1" fillId="0" borderId="83" xfId="0" applyNumberFormat="1" applyFont="1" applyBorder="1" applyAlignment="1">
      <alignment/>
    </xf>
    <xf numFmtId="4" fontId="1" fillId="0" borderId="114" xfId="0" applyNumberFormat="1" applyFont="1" applyBorder="1" applyAlignment="1">
      <alignment/>
    </xf>
    <xf numFmtId="9" fontId="1" fillId="0" borderId="113" xfId="54" applyFont="1" applyBorder="1" applyAlignment="1">
      <alignment/>
    </xf>
    <xf numFmtId="9" fontId="1" fillId="0" borderId="83" xfId="0" applyNumberFormat="1" applyFont="1" applyBorder="1" applyAlignment="1">
      <alignment/>
    </xf>
    <xf numFmtId="4" fontId="1" fillId="0" borderId="107" xfId="0" applyNumberFormat="1" applyFont="1" applyBorder="1" applyAlignment="1">
      <alignment/>
    </xf>
    <xf numFmtId="9" fontId="1" fillId="0" borderId="25" xfId="54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9" fontId="1" fillId="0" borderId="93" xfId="54" applyFont="1" applyBorder="1" applyAlignment="1">
      <alignment/>
    </xf>
    <xf numFmtId="9" fontId="1" fillId="0" borderId="113" xfId="0" applyNumberFormat="1" applyFont="1" applyBorder="1" applyAlignment="1">
      <alignment/>
    </xf>
    <xf numFmtId="9" fontId="1" fillId="0" borderId="83" xfId="54" applyFont="1" applyBorder="1" applyAlignment="1">
      <alignment horizontal="right"/>
    </xf>
    <xf numFmtId="9" fontId="1" fillId="0" borderId="25" xfId="54" applyFont="1" applyBorder="1" applyAlignment="1">
      <alignment/>
    </xf>
    <xf numFmtId="9" fontId="4" fillId="0" borderId="69" xfId="0" applyNumberFormat="1" applyFont="1" applyBorder="1" applyAlignment="1">
      <alignment/>
    </xf>
    <xf numFmtId="9" fontId="15" fillId="0" borderId="69" xfId="0" applyNumberFormat="1" applyFont="1" applyBorder="1" applyAlignment="1">
      <alignment/>
    </xf>
    <xf numFmtId="0" fontId="16" fillId="0" borderId="69" xfId="0" applyFont="1" applyBorder="1" applyAlignment="1">
      <alignment horizontal="center"/>
    </xf>
    <xf numFmtId="0" fontId="16" fillId="0" borderId="69" xfId="0" applyFont="1" applyBorder="1" applyAlignment="1">
      <alignment horizontal="left" vertical="center" wrapText="1"/>
    </xf>
    <xf numFmtId="4" fontId="16" fillId="0" borderId="69" xfId="0" applyNumberFormat="1" applyFont="1" applyBorder="1" applyAlignment="1">
      <alignment/>
    </xf>
    <xf numFmtId="9" fontId="16" fillId="0" borderId="69" xfId="0" applyNumberFormat="1" applyFont="1" applyBorder="1" applyAlignment="1">
      <alignment horizontal="center"/>
    </xf>
    <xf numFmtId="0" fontId="16" fillId="0" borderId="0" xfId="0" applyFont="1" applyAlignment="1">
      <alignment/>
    </xf>
    <xf numFmtId="9" fontId="1" fillId="0" borderId="43" xfId="54" applyFont="1" applyBorder="1" applyAlignment="1">
      <alignment/>
    </xf>
    <xf numFmtId="9" fontId="1" fillId="0" borderId="82" xfId="54" applyFont="1" applyBorder="1" applyAlignment="1">
      <alignment/>
    </xf>
    <xf numFmtId="9" fontId="1" fillId="0" borderId="100" xfId="54" applyFont="1" applyBorder="1" applyAlignment="1">
      <alignment horizontal="right"/>
    </xf>
    <xf numFmtId="9" fontId="1" fillId="0" borderId="95" xfId="54" applyFont="1" applyBorder="1" applyAlignment="1">
      <alignment horizontal="center"/>
    </xf>
    <xf numFmtId="9" fontId="1" fillId="0" borderId="57" xfId="54" applyFont="1" applyBorder="1" applyAlignment="1">
      <alignment horizontal="center"/>
    </xf>
    <xf numFmtId="9" fontId="1" fillId="0" borderId="93" xfId="54" applyFont="1" applyBorder="1" applyAlignment="1">
      <alignment horizontal="center"/>
    </xf>
    <xf numFmtId="9" fontId="1" fillId="0" borderId="118" xfId="54" applyFont="1" applyBorder="1" applyAlignment="1">
      <alignment horizontal="center"/>
    </xf>
    <xf numFmtId="4" fontId="1" fillId="0" borderId="119" xfId="0" applyNumberFormat="1" applyFont="1" applyBorder="1" applyAlignment="1">
      <alignment horizontal="right"/>
    </xf>
    <xf numFmtId="4" fontId="1" fillId="0" borderId="120" xfId="0" applyNumberFormat="1" applyFont="1" applyBorder="1" applyAlignment="1">
      <alignment horizontal="right"/>
    </xf>
    <xf numFmtId="4" fontId="1" fillId="0" borderId="1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8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22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" fontId="1" fillId="0" borderId="0" xfId="0" applyNumberFormat="1" applyFont="1" applyAlignment="1">
      <alignment horizontal="center" wrapText="1"/>
    </xf>
    <xf numFmtId="0" fontId="1" fillId="0" borderId="129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72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66815817"/>
        <c:axId val="64471442"/>
        <c:axId val="43372067"/>
      </c:bar3DChart>
      <c:catAx>
        <c:axId val="6681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71442"/>
        <c:crosses val="autoZero"/>
        <c:auto val="0"/>
        <c:lblOffset val="100"/>
        <c:tickLblSkip val="16"/>
        <c:noMultiLvlLbl val="0"/>
      </c:catAx>
      <c:valAx>
        <c:axId val="64471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5817"/>
        <c:crossesAt val="1"/>
        <c:crossBetween val="between"/>
        <c:dispUnits/>
      </c:valAx>
      <c:serAx>
        <c:axId val="433720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71442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7457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0">
                <c:v>0</c:v>
              </c:pt>
              <c:pt idx="2">
                <c:v>40</c:v>
              </c:pt>
              <c:pt idx="3">
                <c:v>70</c:v>
              </c:pt>
              <c:pt idx="6">
                <c:v>74</c:v>
              </c:pt>
              <c:pt idx="7">
                <c:v>79</c:v>
              </c:pt>
              <c:pt idx="8">
                <c:v>86</c:v>
              </c:pt>
              <c:pt idx="9">
                <c:v>87</c:v>
              </c:pt>
              <c:pt idx="10">
                <c:v>88</c:v>
              </c:pt>
              <c:pt idx="11">
                <c:v>90</c:v>
              </c:pt>
              <c:pt idx="12">
                <c:v>91</c:v>
              </c:pt>
              <c:pt idx="13">
                <c:v>94</c:v>
              </c:pt>
              <c:pt idx="14">
                <c:v>97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2">
                <c:v>0</c:v>
              </c:pt>
              <c:pt idx="3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2"/>
          <c:order val="2"/>
          <c:spPr>
            <a:pattFill prst="pct7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0">
                <c:v>5760348</c:v>
              </c:pt>
              <c:pt idx="2">
                <c:v>14095</c:v>
              </c:pt>
              <c:pt idx="3">
                <c:v>222542</c:v>
              </c:pt>
              <c:pt idx="6">
                <c:v>159533</c:v>
              </c:pt>
              <c:pt idx="7">
                <c:v>296809</c:v>
              </c:pt>
              <c:pt idx="8">
                <c:v>399984</c:v>
              </c:pt>
              <c:pt idx="9">
                <c:v>0</c:v>
              </c:pt>
              <c:pt idx="10">
                <c:v>0</c:v>
              </c:pt>
              <c:pt idx="11">
                <c:v>2275552</c:v>
              </c:pt>
              <c:pt idx="12">
                <c:v>102728</c:v>
              </c:pt>
              <c:pt idx="13">
                <c:v>19316</c:v>
              </c:pt>
              <c:pt idx="14">
                <c:v>2261537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0">
                <c:v>1</c:v>
              </c:pt>
              <c:pt idx="2">
                <c:v>0.0024469007775224693</c:v>
              </c:pt>
              <c:pt idx="3">
                <c:v>0.03863342978583933</c:v>
              </c:pt>
              <c:pt idx="6">
                <c:v>0.02769502814760497</c:v>
              </c:pt>
              <c:pt idx="7">
                <c:v>0.05152622723488234</c:v>
              </c:pt>
              <c:pt idx="8">
                <c:v>0.06943747148609772</c:v>
              </c:pt>
              <c:pt idx="9">
                <c:v>0</c:v>
              </c:pt>
              <c:pt idx="10">
                <c:v>0</c:v>
              </c:pt>
              <c:pt idx="11">
                <c:v>0.3950372442776027</c:v>
              </c:pt>
              <c:pt idx="12">
                <c:v>0.01783364477285053</c:v>
              </c:pt>
              <c:pt idx="13">
                <c:v>0.0033532696288488127</c:v>
              </c:pt>
              <c:pt idx="14">
                <c:v>0.39260423154989943</c:v>
              </c:pt>
            </c:numLit>
          </c:val>
        </c:ser>
        <c:gapWidth val="50"/>
        <c:axId val="54804284"/>
        <c:axId val="23476509"/>
      </c:barChart>
      <c:catAx>
        <c:axId val="54804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76509"/>
        <c:crosses val="autoZero"/>
        <c:auto val="0"/>
        <c:lblOffset val="100"/>
        <c:tickLblSkip val="3"/>
        <c:noMultiLvlLbl val="0"/>
      </c:catAx>
      <c:valAx>
        <c:axId val="234765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04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4615"/>
          <c:w val="0.20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575"/>
          <c:w val="0.826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0">
                <c:v>0</c:v>
              </c:pt>
              <c:pt idx="2">
                <c:v>40</c:v>
              </c:pt>
              <c:pt idx="3">
                <c:v>70</c:v>
              </c:pt>
              <c:pt idx="6">
                <c:v>74</c:v>
              </c:pt>
              <c:pt idx="7">
                <c:v>79</c:v>
              </c:pt>
              <c:pt idx="8">
                <c:v>86</c:v>
              </c:pt>
              <c:pt idx="9">
                <c:v>87</c:v>
              </c:pt>
              <c:pt idx="10">
                <c:v>88</c:v>
              </c:pt>
              <c:pt idx="11">
                <c:v>90</c:v>
              </c:pt>
              <c:pt idx="12">
                <c:v>91</c:v>
              </c:pt>
              <c:pt idx="13">
                <c:v>94</c:v>
              </c:pt>
              <c:pt idx="14">
                <c:v>97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2">
                <c:v>0</c:v>
              </c:pt>
              <c:pt idx="3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2"/>
          <c:order val="2"/>
          <c:spPr>
            <a:pattFill prst="pct7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0">
                <c:v>5760348</c:v>
              </c:pt>
              <c:pt idx="2">
                <c:v>14095</c:v>
              </c:pt>
              <c:pt idx="3">
                <c:v>222542</c:v>
              </c:pt>
              <c:pt idx="6">
                <c:v>159533</c:v>
              </c:pt>
              <c:pt idx="7">
                <c:v>296809</c:v>
              </c:pt>
              <c:pt idx="8">
                <c:v>399984</c:v>
              </c:pt>
              <c:pt idx="9">
                <c:v>0</c:v>
              </c:pt>
              <c:pt idx="10">
                <c:v>0</c:v>
              </c:pt>
              <c:pt idx="11">
                <c:v>2275552</c:v>
              </c:pt>
              <c:pt idx="12">
                <c:v>102728</c:v>
              </c:pt>
              <c:pt idx="13">
                <c:v>19316</c:v>
              </c:pt>
              <c:pt idx="14">
                <c:v>2261537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0">
                <c:v>1</c:v>
              </c:pt>
              <c:pt idx="2">
                <c:v>0.0024469007775224693</c:v>
              </c:pt>
              <c:pt idx="3">
                <c:v>0.03863342978583933</c:v>
              </c:pt>
              <c:pt idx="6">
                <c:v>0.02769502814760497</c:v>
              </c:pt>
              <c:pt idx="7">
                <c:v>0.05152622723488234</c:v>
              </c:pt>
              <c:pt idx="8">
                <c:v>0.06943747148609772</c:v>
              </c:pt>
              <c:pt idx="9">
                <c:v>0</c:v>
              </c:pt>
              <c:pt idx="10">
                <c:v>0</c:v>
              </c:pt>
              <c:pt idx="11">
                <c:v>0.3950372442776027</c:v>
              </c:pt>
              <c:pt idx="12">
                <c:v>0.01783364477285053</c:v>
              </c:pt>
              <c:pt idx="13">
                <c:v>0.0033532696288488127</c:v>
              </c:pt>
              <c:pt idx="14">
                <c:v>0.39260423154989943</c:v>
              </c:pt>
            </c:numLit>
          </c:val>
        </c:ser>
        <c:gapWidth val="50"/>
        <c:axId val="9961990"/>
        <c:axId val="22549047"/>
      </c:barChart>
      <c:catAx>
        <c:axId val="99619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49047"/>
        <c:crosses val="autoZero"/>
        <c:auto val="0"/>
        <c:lblOffset val="100"/>
        <c:tickLblSkip val="1"/>
        <c:noMultiLvlLbl val="0"/>
      </c:catAx>
      <c:valAx>
        <c:axId val="225490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61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9185"/>
          <c:w val="0.097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1614832"/>
        <c:axId val="14533489"/>
        <c:axId val="63692538"/>
      </c:bar3DChart>
      <c:catAx>
        <c:axId val="161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33489"/>
        <c:crosses val="autoZero"/>
        <c:auto val="0"/>
        <c:lblOffset val="100"/>
        <c:tickLblSkip val="5"/>
        <c:noMultiLvlLbl val="0"/>
      </c:catAx>
      <c:valAx>
        <c:axId val="1453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832"/>
        <c:crossesAt val="1"/>
        <c:crossBetween val="between"/>
        <c:dispUnits/>
      </c:valAx>
      <c:serAx>
        <c:axId val="63692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33489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36361931"/>
        <c:axId val="58821924"/>
        <c:axId val="59635269"/>
      </c:bar3DChart>
      <c:catAx>
        <c:axId val="3636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21924"/>
        <c:crosses val="autoZero"/>
        <c:auto val="0"/>
        <c:lblOffset val="100"/>
        <c:tickLblSkip val="5"/>
        <c:noMultiLvlLbl val="0"/>
      </c:catAx>
      <c:valAx>
        <c:axId val="5882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61931"/>
        <c:crossesAt val="1"/>
        <c:crossBetween val="between"/>
        <c:dispUnits/>
      </c:valAx>
      <c:serAx>
        <c:axId val="59635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21924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66955374"/>
        <c:axId val="65727455"/>
        <c:axId val="54676184"/>
      </c:bar3DChart>
      <c:catAx>
        <c:axId val="6695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27455"/>
        <c:crosses val="autoZero"/>
        <c:auto val="0"/>
        <c:lblOffset val="100"/>
        <c:tickLblSkip val="5"/>
        <c:noMultiLvlLbl val="0"/>
      </c:catAx>
      <c:valAx>
        <c:axId val="6572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5374"/>
        <c:crossesAt val="1"/>
        <c:crossBetween val="between"/>
        <c:dispUnits/>
      </c:valAx>
      <c:serAx>
        <c:axId val="546761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27455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22323609"/>
        <c:axId val="66694754"/>
        <c:axId val="63381875"/>
      </c:bar3DChart>
      <c:catAx>
        <c:axId val="2232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94754"/>
        <c:crosses val="autoZero"/>
        <c:auto val="0"/>
        <c:lblOffset val="100"/>
        <c:tickLblSkip val="5"/>
        <c:noMultiLvlLbl val="0"/>
      </c:catAx>
      <c:valAx>
        <c:axId val="66694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3609"/>
        <c:crossesAt val="1"/>
        <c:crossBetween val="between"/>
        <c:dispUnits/>
      </c:valAx>
      <c:serAx>
        <c:axId val="63381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754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118</xdr:row>
      <xdr:rowOff>0</xdr:rowOff>
    </xdr:from>
    <xdr:to>
      <xdr:col>11</xdr:col>
      <xdr:colOff>0</xdr:colOff>
      <xdr:row>118</xdr:row>
      <xdr:rowOff>0</xdr:rowOff>
    </xdr:to>
    <xdr:graphicFrame>
      <xdr:nvGraphicFramePr>
        <xdr:cNvPr id="1" name="Chart 1"/>
        <xdr:cNvGraphicFramePr/>
      </xdr:nvGraphicFramePr>
      <xdr:xfrm>
        <a:off x="12934950" y="5074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285750</xdr:colOff>
      <xdr:row>18</xdr:row>
      <xdr:rowOff>0</xdr:rowOff>
    </xdr:from>
    <xdr:to>
      <xdr:col>27</xdr:col>
      <xdr:colOff>295275</xdr:colOff>
      <xdr:row>18</xdr:row>
      <xdr:rowOff>0</xdr:rowOff>
    </xdr:to>
    <xdr:sp fLocksText="0">
      <xdr:nvSpPr>
        <xdr:cNvPr id="2" name="Tekst 3"/>
        <xdr:cNvSpPr txBox="1">
          <a:spLocks noChangeArrowheads="1"/>
        </xdr:cNvSpPr>
      </xdr:nvSpPr>
      <xdr:spPr>
        <a:xfrm>
          <a:off x="28736925" y="9286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32</xdr:row>
      <xdr:rowOff>457200</xdr:rowOff>
    </xdr:from>
    <xdr:to>
      <xdr:col>19</xdr:col>
      <xdr:colOff>457200</xdr:colOff>
      <xdr:row>55</xdr:row>
      <xdr:rowOff>600075</xdr:rowOff>
    </xdr:to>
    <xdr:graphicFrame>
      <xdr:nvGraphicFramePr>
        <xdr:cNvPr id="3" name="Chart 3"/>
        <xdr:cNvGraphicFramePr/>
      </xdr:nvGraphicFramePr>
      <xdr:xfrm>
        <a:off x="17687925" y="15849600"/>
        <a:ext cx="2590800" cy="1094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285750</xdr:colOff>
      <xdr:row>18</xdr:row>
      <xdr:rowOff>0</xdr:rowOff>
    </xdr:from>
    <xdr:to>
      <xdr:col>31</xdr:col>
      <xdr:colOff>295275</xdr:colOff>
      <xdr:row>18</xdr:row>
      <xdr:rowOff>0</xdr:rowOff>
    </xdr:to>
    <xdr:sp fLocksText="0">
      <xdr:nvSpPr>
        <xdr:cNvPr id="4" name="Tekst 3"/>
        <xdr:cNvSpPr txBox="1">
          <a:spLocks noChangeArrowheads="1"/>
        </xdr:cNvSpPr>
      </xdr:nvSpPr>
      <xdr:spPr>
        <a:xfrm>
          <a:off x="31175325" y="9286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238125</xdr:colOff>
      <xdr:row>36</xdr:row>
      <xdr:rowOff>0</xdr:rowOff>
    </xdr:from>
    <xdr:to>
      <xdr:col>23</xdr:col>
      <xdr:colOff>428625</xdr:colOff>
      <xdr:row>59</xdr:row>
      <xdr:rowOff>123825</xdr:rowOff>
    </xdr:to>
    <xdr:graphicFrame>
      <xdr:nvGraphicFramePr>
        <xdr:cNvPr id="5" name="Chart 7"/>
        <xdr:cNvGraphicFramePr/>
      </xdr:nvGraphicFramePr>
      <xdr:xfrm>
        <a:off x="20659725" y="16830675"/>
        <a:ext cx="5591175" cy="1201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graphicFrame>
      <xdr:nvGraphicFramePr>
        <xdr:cNvPr id="6" name="Chart 8"/>
        <xdr:cNvGraphicFramePr/>
      </xdr:nvGraphicFramePr>
      <xdr:xfrm>
        <a:off x="12934950" y="22860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50</xdr:row>
      <xdr:rowOff>0</xdr:rowOff>
    </xdr:to>
    <xdr:graphicFrame>
      <xdr:nvGraphicFramePr>
        <xdr:cNvPr id="7" name="Chart 10"/>
        <xdr:cNvGraphicFramePr/>
      </xdr:nvGraphicFramePr>
      <xdr:xfrm>
        <a:off x="15782925" y="228600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graphicFrame>
      <xdr:nvGraphicFramePr>
        <xdr:cNvPr id="8" name="Chart 11"/>
        <xdr:cNvGraphicFramePr/>
      </xdr:nvGraphicFramePr>
      <xdr:xfrm>
        <a:off x="12934950" y="23345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graphicFrame>
      <xdr:nvGraphicFramePr>
        <xdr:cNvPr id="9" name="Chart 12"/>
        <xdr:cNvGraphicFramePr/>
      </xdr:nvGraphicFramePr>
      <xdr:xfrm>
        <a:off x="15782925" y="23345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80;et\ABS_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_D97"/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181"/>
  <sheetViews>
    <sheetView view="pageBreakPreview" zoomScale="70" zoomScaleNormal="75" zoomScaleSheetLayoutView="70" zoomScalePageLayoutView="0" workbookViewId="0" topLeftCell="C137">
      <selection activeCell="E149" sqref="E149"/>
    </sheetView>
  </sheetViews>
  <sheetFormatPr defaultColWidth="9.140625" defaultRowHeight="12.75"/>
  <cols>
    <col min="1" max="1" width="5.57421875" style="36" customWidth="1"/>
    <col min="2" max="2" width="8.28125" style="37" customWidth="1"/>
    <col min="3" max="3" width="7.28125" style="38" bestFit="1" customWidth="1"/>
    <col min="4" max="4" width="61.140625" style="36" customWidth="1"/>
    <col min="5" max="5" width="18.140625" style="36" customWidth="1"/>
    <col min="6" max="6" width="18.28125" style="36" customWidth="1"/>
    <col min="7" max="7" width="9.7109375" style="268" customWidth="1"/>
    <col min="8" max="8" width="18.7109375" style="36" customWidth="1"/>
    <col min="9" max="9" width="18.421875" style="36" customWidth="1"/>
    <col min="10" max="10" width="10.421875" style="36" customWidth="1"/>
    <col min="11" max="11" width="18.00390625" style="36" customWidth="1"/>
    <col min="12" max="12" width="18.140625" style="36" customWidth="1"/>
    <col min="13" max="13" width="9.7109375" style="36" customWidth="1"/>
    <col min="14" max="15" width="14.8515625" style="36" customWidth="1"/>
    <col min="16" max="16" width="9.7109375" style="36" customWidth="1"/>
    <col min="17" max="18" width="13.421875" style="36" customWidth="1"/>
    <col min="19" max="19" width="9.140625" style="36" customWidth="1"/>
    <col min="20" max="20" width="9.00390625" style="36" customWidth="1"/>
    <col min="21" max="21" width="9.57421875" style="36" customWidth="1"/>
    <col min="22" max="22" width="56.140625" style="36" customWidth="1"/>
    <col min="23" max="23" width="15.28125" style="36" customWidth="1"/>
    <col min="24" max="24" width="12.00390625" style="36" customWidth="1"/>
    <col min="25" max="16384" width="9.140625" style="36" customWidth="1"/>
  </cols>
  <sheetData>
    <row r="1" spans="1:181" s="67" customFormat="1" ht="28.5" customHeight="1" thickBot="1" thickTop="1">
      <c r="A1" s="510" t="s">
        <v>0</v>
      </c>
      <c r="B1" s="510" t="s">
        <v>1</v>
      </c>
      <c r="C1" s="512" t="s">
        <v>2</v>
      </c>
      <c r="D1" s="510" t="s">
        <v>3</v>
      </c>
      <c r="E1" s="63"/>
      <c r="F1" s="64" t="s">
        <v>46</v>
      </c>
      <c r="G1" s="259"/>
      <c r="H1" s="64" t="s">
        <v>83</v>
      </c>
      <c r="I1" s="65"/>
      <c r="J1" s="64"/>
      <c r="K1" s="66" t="s">
        <v>84</v>
      </c>
      <c r="L1" s="65"/>
      <c r="M1" s="64"/>
      <c r="N1" s="507" t="s">
        <v>87</v>
      </c>
      <c r="O1" s="508"/>
      <c r="P1" s="509"/>
      <c r="Q1" s="67" t="s">
        <v>96</v>
      </c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</row>
    <row r="2" spans="1:181" s="74" customFormat="1" ht="38.25" customHeight="1" thickBot="1">
      <c r="A2" s="511"/>
      <c r="B2" s="511"/>
      <c r="C2" s="513"/>
      <c r="D2" s="514"/>
      <c r="E2" s="68" t="s">
        <v>85</v>
      </c>
      <c r="F2" s="68" t="s">
        <v>86</v>
      </c>
      <c r="G2" s="260" t="s">
        <v>82</v>
      </c>
      <c r="H2" s="69" t="s">
        <v>81</v>
      </c>
      <c r="I2" s="68" t="s">
        <v>78</v>
      </c>
      <c r="J2" s="70" t="s">
        <v>82</v>
      </c>
      <c r="K2" s="71" t="s">
        <v>81</v>
      </c>
      <c r="L2" s="72" t="s">
        <v>78</v>
      </c>
      <c r="M2" s="49" t="s">
        <v>82</v>
      </c>
      <c r="N2" s="71" t="s">
        <v>81</v>
      </c>
      <c r="O2" s="72" t="s">
        <v>78</v>
      </c>
      <c r="P2" s="72" t="s">
        <v>82</v>
      </c>
      <c r="Q2" s="184" t="s">
        <v>97</v>
      </c>
      <c r="R2" s="184">
        <v>6078</v>
      </c>
      <c r="S2" s="36"/>
      <c r="T2" s="36"/>
      <c r="U2" s="73"/>
      <c r="V2" s="40"/>
      <c r="W2" s="40"/>
      <c r="X2" s="40"/>
      <c r="Y2" s="40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</row>
    <row r="3" spans="1:181" s="76" customFormat="1" ht="18.75" customHeight="1" thickBot="1">
      <c r="A3" s="41">
        <v>1</v>
      </c>
      <c r="B3" s="41">
        <v>2</v>
      </c>
      <c r="C3" s="172">
        <v>3</v>
      </c>
      <c r="D3" s="41">
        <v>4</v>
      </c>
      <c r="E3" s="62">
        <v>5</v>
      </c>
      <c r="F3" s="62">
        <v>6</v>
      </c>
      <c r="G3" s="280">
        <v>7</v>
      </c>
      <c r="H3" s="42">
        <v>8</v>
      </c>
      <c r="I3" s="41">
        <v>9</v>
      </c>
      <c r="J3" s="58">
        <v>10</v>
      </c>
      <c r="K3" s="75">
        <v>11</v>
      </c>
      <c r="L3" s="41">
        <v>12</v>
      </c>
      <c r="M3" s="58">
        <v>13</v>
      </c>
      <c r="N3" s="75">
        <v>14</v>
      </c>
      <c r="O3" s="41">
        <v>15</v>
      </c>
      <c r="P3" s="41">
        <v>16</v>
      </c>
      <c r="Q3" s="36"/>
      <c r="R3" s="36"/>
      <c r="S3" s="36"/>
      <c r="T3" s="36"/>
      <c r="U3" s="53"/>
      <c r="V3" s="40"/>
      <c r="W3" s="36"/>
      <c r="X3" s="36"/>
      <c r="Y3" s="40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</row>
    <row r="4" spans="1:181" s="76" customFormat="1" ht="18.75" customHeight="1" thickBot="1" thickTop="1">
      <c r="A4" s="273" t="s">
        <v>147</v>
      </c>
      <c r="B4" s="273"/>
      <c r="C4" s="274"/>
      <c r="D4" s="275" t="s">
        <v>19</v>
      </c>
      <c r="E4" s="281">
        <f>E5</f>
        <v>131056.1</v>
      </c>
      <c r="F4" s="281">
        <f>F5</f>
        <v>131056.1</v>
      </c>
      <c r="G4" s="276">
        <f>E4/F4</f>
        <v>1</v>
      </c>
      <c r="H4" s="277"/>
      <c r="I4" s="275"/>
      <c r="J4" s="278"/>
      <c r="K4" s="283">
        <f>K5</f>
        <v>131056.1</v>
      </c>
      <c r="L4" s="245">
        <f>L5</f>
        <v>131056.1</v>
      </c>
      <c r="M4" s="284">
        <f>L4/K4</f>
        <v>1</v>
      </c>
      <c r="N4" s="279"/>
      <c r="O4" s="275"/>
      <c r="P4" s="275"/>
      <c r="Q4" s="36"/>
      <c r="R4" s="36"/>
      <c r="S4" s="36"/>
      <c r="T4" s="36"/>
      <c r="U4" s="53"/>
      <c r="V4" s="40"/>
      <c r="W4" s="36"/>
      <c r="X4" s="36"/>
      <c r="Y4" s="40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</row>
    <row r="5" spans="1:181" s="76" customFormat="1" ht="18.75" customHeight="1" thickBot="1">
      <c r="A5" s="272"/>
      <c r="B5" s="272" t="s">
        <v>148</v>
      </c>
      <c r="C5" s="6"/>
      <c r="D5" s="15" t="s">
        <v>4</v>
      </c>
      <c r="E5" s="282">
        <f>E6</f>
        <v>131056.1</v>
      </c>
      <c r="F5" s="282">
        <f>F6</f>
        <v>131056.1</v>
      </c>
      <c r="G5" s="262">
        <f>F5/E5</f>
        <v>1</v>
      </c>
      <c r="H5" s="270"/>
      <c r="I5" s="15"/>
      <c r="J5" s="55"/>
      <c r="K5" s="253">
        <f>K6</f>
        <v>131056.1</v>
      </c>
      <c r="L5" s="211">
        <f>L6</f>
        <v>131056.1</v>
      </c>
      <c r="M5" s="77">
        <f>L5/K5</f>
        <v>1</v>
      </c>
      <c r="N5" s="271"/>
      <c r="O5" s="15"/>
      <c r="P5" s="15"/>
      <c r="Q5" s="36"/>
      <c r="R5" s="36"/>
      <c r="S5" s="36"/>
      <c r="T5" s="36"/>
      <c r="U5" s="53"/>
      <c r="V5" s="40"/>
      <c r="W5" s="36"/>
      <c r="X5" s="36"/>
      <c r="Y5" s="40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</row>
    <row r="6" spans="1:181" s="76" customFormat="1" ht="75" customHeight="1" thickBot="1">
      <c r="A6" s="15"/>
      <c r="B6" s="15"/>
      <c r="C6" s="198">
        <v>2010</v>
      </c>
      <c r="D6" s="295" t="s">
        <v>149</v>
      </c>
      <c r="E6" s="211">
        <v>131056.1</v>
      </c>
      <c r="F6" s="211">
        <v>131056.1</v>
      </c>
      <c r="G6" s="263">
        <f>F6/E6</f>
        <v>1</v>
      </c>
      <c r="H6" s="270"/>
      <c r="I6" s="15"/>
      <c r="J6" s="55"/>
      <c r="K6" s="424">
        <f>L6</f>
        <v>131056.1</v>
      </c>
      <c r="L6" s="211">
        <v>131056.1</v>
      </c>
      <c r="M6" s="78">
        <f>L6/K6</f>
        <v>1</v>
      </c>
      <c r="N6" s="271"/>
      <c r="O6" s="15"/>
      <c r="P6" s="15"/>
      <c r="Q6" s="36"/>
      <c r="R6" s="36"/>
      <c r="S6" s="36"/>
      <c r="T6" s="36"/>
      <c r="U6" s="53"/>
      <c r="V6" s="40"/>
      <c r="W6" s="36"/>
      <c r="X6" s="36"/>
      <c r="Y6" s="40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</row>
    <row r="7" spans="1:181" s="82" customFormat="1" ht="19.5" thickBot="1">
      <c r="A7" s="11" t="str">
        <f>"020"</f>
        <v>020</v>
      </c>
      <c r="B7" s="11"/>
      <c r="C7" s="13"/>
      <c r="D7" s="12" t="s">
        <v>18</v>
      </c>
      <c r="E7" s="215">
        <f>E8</f>
        <v>2000</v>
      </c>
      <c r="F7" s="215">
        <f>F8</f>
        <v>1337</v>
      </c>
      <c r="G7" s="261">
        <f>F7/E7</f>
        <v>0.6685</v>
      </c>
      <c r="H7" s="215">
        <f>H8</f>
        <v>2000</v>
      </c>
      <c r="I7" s="215">
        <f>I8</f>
        <v>1337</v>
      </c>
      <c r="J7" s="79">
        <f>I7/H7</f>
        <v>0.6685</v>
      </c>
      <c r="K7" s="237" t="s">
        <v>214</v>
      </c>
      <c r="L7" s="215"/>
      <c r="M7" s="79"/>
      <c r="N7" s="237"/>
      <c r="O7" s="215"/>
      <c r="P7" s="14"/>
      <c r="Q7" s="36"/>
      <c r="R7" s="36" t="s">
        <v>95</v>
      </c>
      <c r="S7" s="36"/>
      <c r="T7" s="15">
        <v>2</v>
      </c>
      <c r="U7" s="5" t="str">
        <f>A7</f>
        <v>020</v>
      </c>
      <c r="V7" s="80" t="str">
        <f>D7</f>
        <v>Leśnictwo</v>
      </c>
      <c r="W7" s="47">
        <f>F7</f>
        <v>1337</v>
      </c>
      <c r="X7" s="81" t="e">
        <f>W7/#REF!</f>
        <v>#REF!</v>
      </c>
      <c r="Y7" s="52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</row>
    <row r="8" spans="1:181" s="82" customFormat="1" ht="19.5" thickBot="1">
      <c r="A8" s="7"/>
      <c r="B8" s="7" t="str">
        <f>"02095"</f>
        <v>02095</v>
      </c>
      <c r="C8" s="6"/>
      <c r="D8" s="15" t="s">
        <v>4</v>
      </c>
      <c r="E8" s="211">
        <f>E9</f>
        <v>2000</v>
      </c>
      <c r="F8" s="211">
        <v>1337</v>
      </c>
      <c r="G8" s="262">
        <f>F8/E8</f>
        <v>0.6685</v>
      </c>
      <c r="H8" s="211">
        <f>H9</f>
        <v>2000</v>
      </c>
      <c r="I8" s="211">
        <v>1337</v>
      </c>
      <c r="J8" s="77">
        <f>I9/H9</f>
        <v>0.6685</v>
      </c>
      <c r="K8" s="253"/>
      <c r="L8" s="211"/>
      <c r="M8" s="77"/>
      <c r="N8" s="253"/>
      <c r="O8" s="211"/>
      <c r="P8" s="26"/>
      <c r="Q8" s="36"/>
      <c r="R8" s="36"/>
      <c r="S8" s="36"/>
      <c r="T8" s="15">
        <v>3</v>
      </c>
      <c r="U8" s="5">
        <f>A10</f>
        <v>600</v>
      </c>
      <c r="V8" s="80" t="str">
        <f>D10</f>
        <v>Transport i łączność</v>
      </c>
      <c r="W8" s="47">
        <f>F10</f>
        <v>0</v>
      </c>
      <c r="X8" s="81" t="e">
        <f>W8/#REF!</f>
        <v>#REF!</v>
      </c>
      <c r="Y8" s="52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</row>
    <row r="9" spans="1:181" s="83" customFormat="1" ht="78.75" customHeight="1" thickBot="1">
      <c r="A9" s="7"/>
      <c r="B9" s="7"/>
      <c r="C9" s="198" t="str">
        <f>"0750"</f>
        <v>0750</v>
      </c>
      <c r="D9" s="295" t="s">
        <v>145</v>
      </c>
      <c r="E9" s="213">
        <v>2000</v>
      </c>
      <c r="F9" s="213">
        <v>1337</v>
      </c>
      <c r="G9" s="263">
        <f>F9/E9</f>
        <v>0.6685</v>
      </c>
      <c r="H9" s="214">
        <v>2000</v>
      </c>
      <c r="I9" s="213">
        <v>1337</v>
      </c>
      <c r="J9" s="78">
        <f>I9/H9</f>
        <v>0.6685</v>
      </c>
      <c r="K9" s="233"/>
      <c r="L9" s="213"/>
      <c r="M9" s="78"/>
      <c r="N9" s="233"/>
      <c r="O9" s="213"/>
      <c r="P9" s="10"/>
      <c r="Q9" s="53"/>
      <c r="R9" s="53"/>
      <c r="S9" s="53"/>
      <c r="T9" s="15">
        <v>4</v>
      </c>
      <c r="U9" s="5" t="e">
        <f>#REF!</f>
        <v>#REF!</v>
      </c>
      <c r="V9" s="80" t="e">
        <f>#REF!</f>
        <v>#REF!</v>
      </c>
      <c r="W9" s="47" t="e">
        <f>#REF!</f>
        <v>#REF!</v>
      </c>
      <c r="X9" s="81" t="e">
        <f>W9/#REF!</f>
        <v>#REF!</v>
      </c>
      <c r="Y9" s="73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</row>
    <row r="10" spans="1:181" s="40" customFormat="1" ht="19.5" thickBot="1">
      <c r="A10" s="11">
        <v>600</v>
      </c>
      <c r="B10" s="11"/>
      <c r="C10" s="13"/>
      <c r="D10" s="12" t="s">
        <v>21</v>
      </c>
      <c r="E10" s="215">
        <f>E11+E14</f>
        <v>1209225</v>
      </c>
      <c r="F10" s="215">
        <f>F11+F14</f>
        <v>0</v>
      </c>
      <c r="G10" s="261">
        <f aca="true" t="shared" si="0" ref="G10:G30">F10/E10</f>
        <v>0</v>
      </c>
      <c r="H10" s="221">
        <f>H11+H14</f>
        <v>900000</v>
      </c>
      <c r="I10" s="221">
        <f>I11+I14</f>
        <v>0</v>
      </c>
      <c r="J10" s="79">
        <f>I10/H10</f>
        <v>0</v>
      </c>
      <c r="K10" s="237"/>
      <c r="L10" s="215"/>
      <c r="M10" s="79"/>
      <c r="N10" s="237">
        <f>N11</f>
        <v>309225</v>
      </c>
      <c r="O10" s="237">
        <f>O11</f>
        <v>0</v>
      </c>
      <c r="P10" s="185">
        <f>O10/N10</f>
        <v>0</v>
      </c>
      <c r="Q10" s="36"/>
      <c r="R10" s="36"/>
      <c r="S10" s="36"/>
      <c r="T10" s="15">
        <v>6</v>
      </c>
      <c r="U10" s="25">
        <f>A31</f>
        <v>710</v>
      </c>
      <c r="V10" s="61" t="str">
        <f>D31</f>
        <v>Działalność usługowa</v>
      </c>
      <c r="W10" s="47">
        <f>F31</f>
        <v>8928.18</v>
      </c>
      <c r="X10" s="81" t="e">
        <f>W10/#REF!</f>
        <v>#REF!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</row>
    <row r="11" spans="1:25" ht="18.75">
      <c r="A11" s="7"/>
      <c r="B11" s="21">
        <v>60014</v>
      </c>
      <c r="C11" s="21"/>
      <c r="D11" s="22" t="s">
        <v>17</v>
      </c>
      <c r="E11" s="218">
        <f>E12+E13</f>
        <v>309225</v>
      </c>
      <c r="F11" s="218">
        <f>F12</f>
        <v>0</v>
      </c>
      <c r="G11" s="262">
        <f t="shared" si="0"/>
        <v>0</v>
      </c>
      <c r="H11" s="218"/>
      <c r="I11" s="218"/>
      <c r="J11" s="77"/>
      <c r="K11" s="232"/>
      <c r="L11" s="218"/>
      <c r="M11" s="86"/>
      <c r="N11" s="232">
        <f>N12+N13</f>
        <v>309225</v>
      </c>
      <c r="O11" s="232">
        <f>O12+O13</f>
        <v>0</v>
      </c>
      <c r="P11" s="8">
        <f>O11/N11</f>
        <v>0</v>
      </c>
      <c r="T11" s="15">
        <v>10</v>
      </c>
      <c r="U11" s="5">
        <f>A56</f>
        <v>756</v>
      </c>
      <c r="V11" s="61" t="str">
        <f>D56</f>
        <v>Dochody od osób prawnych, od osób fizycznych i od innych jednostek nieposiadających osobowości prawnej oraz wydatki związane z ich poborem</v>
      </c>
      <c r="W11" s="47">
        <f>F56</f>
        <v>2049065.3</v>
      </c>
      <c r="X11" s="81" t="e">
        <f>W11/#REF!</f>
        <v>#REF!</v>
      </c>
      <c r="Y11" s="40"/>
    </row>
    <row r="12" spans="1:25" ht="56.25">
      <c r="A12" s="7"/>
      <c r="B12" s="7"/>
      <c r="C12" s="198">
        <v>2320</v>
      </c>
      <c r="D12" s="294" t="s">
        <v>133</v>
      </c>
      <c r="E12" s="213">
        <v>9225</v>
      </c>
      <c r="F12" s="213">
        <v>0</v>
      </c>
      <c r="G12" s="263">
        <f t="shared" si="0"/>
        <v>0</v>
      </c>
      <c r="H12" s="214"/>
      <c r="I12" s="213"/>
      <c r="J12" s="78"/>
      <c r="K12" s="233"/>
      <c r="L12" s="213"/>
      <c r="M12" s="78"/>
      <c r="N12" s="233">
        <v>9225</v>
      </c>
      <c r="O12" s="213">
        <v>0</v>
      </c>
      <c r="P12" s="10">
        <f>O12/N12</f>
        <v>0</v>
      </c>
      <c r="T12" s="15"/>
      <c r="U12" s="5"/>
      <c r="V12" s="61" t="e">
        <f>#REF!</f>
        <v>#REF!</v>
      </c>
      <c r="W12" s="47"/>
      <c r="X12" s="81"/>
      <c r="Y12" s="40"/>
    </row>
    <row r="13" spans="1:25" ht="75">
      <c r="A13" s="7"/>
      <c r="B13" s="434"/>
      <c r="C13" s="391">
        <v>6620</v>
      </c>
      <c r="D13" s="411" t="s">
        <v>215</v>
      </c>
      <c r="E13" s="386">
        <v>300000</v>
      </c>
      <c r="F13" s="386">
        <v>0</v>
      </c>
      <c r="G13" s="264">
        <f t="shared" si="0"/>
        <v>0</v>
      </c>
      <c r="H13" s="387"/>
      <c r="I13" s="386"/>
      <c r="J13" s="388"/>
      <c r="K13" s="389"/>
      <c r="L13" s="386"/>
      <c r="M13" s="388"/>
      <c r="N13" s="389">
        <v>300000</v>
      </c>
      <c r="O13" s="386">
        <v>0</v>
      </c>
      <c r="P13" s="191">
        <f>O13/N13</f>
        <v>0</v>
      </c>
      <c r="T13" s="15"/>
      <c r="U13" s="5"/>
      <c r="V13" s="61"/>
      <c r="W13" s="47"/>
      <c r="X13" s="81"/>
      <c r="Y13" s="40"/>
    </row>
    <row r="14" spans="1:25" ht="18.75">
      <c r="A14" s="7"/>
      <c r="B14" s="272">
        <v>60016</v>
      </c>
      <c r="C14" s="198"/>
      <c r="D14" s="44" t="s">
        <v>32</v>
      </c>
      <c r="E14" s="211">
        <f>E15</f>
        <v>900000</v>
      </c>
      <c r="F14" s="211">
        <f>F15</f>
        <v>0</v>
      </c>
      <c r="G14" s="263">
        <f t="shared" si="0"/>
        <v>0</v>
      </c>
      <c r="H14" s="211">
        <f>H15</f>
        <v>900000</v>
      </c>
      <c r="I14" s="211">
        <f>I15</f>
        <v>0</v>
      </c>
      <c r="J14" s="78">
        <f>I14/H14</f>
        <v>0</v>
      </c>
      <c r="K14" s="233"/>
      <c r="L14" s="213"/>
      <c r="M14" s="78"/>
      <c r="N14" s="233"/>
      <c r="O14" s="213"/>
      <c r="P14" s="10"/>
      <c r="T14" s="15"/>
      <c r="U14" s="5"/>
      <c r="V14" s="61"/>
      <c r="W14" s="47"/>
      <c r="X14" s="81"/>
      <c r="Y14" s="40"/>
    </row>
    <row r="15" spans="1:25" ht="94.5" thickBot="1">
      <c r="A15" s="7"/>
      <c r="B15" s="7"/>
      <c r="C15" s="198">
        <v>6207</v>
      </c>
      <c r="D15" s="294" t="s">
        <v>235</v>
      </c>
      <c r="E15" s="213">
        <v>900000</v>
      </c>
      <c r="F15" s="213">
        <v>0</v>
      </c>
      <c r="G15" s="263">
        <f t="shared" si="0"/>
        <v>0</v>
      </c>
      <c r="H15" s="213">
        <v>900000</v>
      </c>
      <c r="I15" s="213">
        <v>0</v>
      </c>
      <c r="J15" s="78">
        <f>I15/H15</f>
        <v>0</v>
      </c>
      <c r="K15" s="233"/>
      <c r="L15" s="213"/>
      <c r="M15" s="78"/>
      <c r="N15" s="233"/>
      <c r="O15" s="213"/>
      <c r="P15" s="10"/>
      <c r="T15" s="15"/>
      <c r="U15" s="5"/>
      <c r="V15" s="61"/>
      <c r="W15" s="47"/>
      <c r="X15" s="81"/>
      <c r="Y15" s="40"/>
    </row>
    <row r="16" spans="1:25" s="53" customFormat="1" ht="19.5" thickBot="1">
      <c r="A16" s="11">
        <v>630</v>
      </c>
      <c r="B16" s="11"/>
      <c r="C16" s="298"/>
      <c r="D16" s="195" t="s">
        <v>22</v>
      </c>
      <c r="E16" s="215">
        <f>E17</f>
        <v>180000</v>
      </c>
      <c r="F16" s="215">
        <f>F17</f>
        <v>0</v>
      </c>
      <c r="G16" s="261">
        <f>F16/E16</f>
        <v>0</v>
      </c>
      <c r="H16" s="215">
        <f>H17</f>
        <v>180000</v>
      </c>
      <c r="I16" s="215">
        <f>I17</f>
        <v>0</v>
      </c>
      <c r="J16" s="79">
        <f>I16/H16</f>
        <v>0</v>
      </c>
      <c r="K16" s="300"/>
      <c r="L16" s="252"/>
      <c r="M16" s="87"/>
      <c r="N16" s="300"/>
      <c r="O16" s="252"/>
      <c r="P16" s="88"/>
      <c r="T16" s="25"/>
      <c r="U16" s="5"/>
      <c r="V16" s="427"/>
      <c r="W16" s="428"/>
      <c r="X16" s="429"/>
      <c r="Y16" s="73"/>
    </row>
    <row r="17" spans="1:25" ht="18.75">
      <c r="A17" s="7"/>
      <c r="B17" s="272">
        <v>63095</v>
      </c>
      <c r="C17" s="198"/>
      <c r="D17" s="44" t="s">
        <v>4</v>
      </c>
      <c r="E17" s="211">
        <f>E18</f>
        <v>180000</v>
      </c>
      <c r="F17" s="211">
        <f>F18</f>
        <v>0</v>
      </c>
      <c r="G17" s="262">
        <f>F17/E17</f>
        <v>0</v>
      </c>
      <c r="H17" s="211">
        <f>H18</f>
        <v>180000</v>
      </c>
      <c r="I17" s="211">
        <f>I18</f>
        <v>0</v>
      </c>
      <c r="J17" s="77">
        <f>I17/H17</f>
        <v>0</v>
      </c>
      <c r="K17" s="430"/>
      <c r="L17" s="213"/>
      <c r="M17" s="78"/>
      <c r="N17" s="233"/>
      <c r="O17" s="213"/>
      <c r="P17" s="10"/>
      <c r="T17" s="15"/>
      <c r="U17" s="5"/>
      <c r="V17" s="61"/>
      <c r="W17" s="47"/>
      <c r="X17" s="81"/>
      <c r="Y17" s="40"/>
    </row>
    <row r="18" spans="1:25" ht="94.5" thickBot="1">
      <c r="A18" s="7"/>
      <c r="B18" s="7"/>
      <c r="C18" s="198">
        <v>6207</v>
      </c>
      <c r="D18" s="294" t="s">
        <v>235</v>
      </c>
      <c r="E18" s="213">
        <v>180000</v>
      </c>
      <c r="F18" s="213">
        <v>0</v>
      </c>
      <c r="G18" s="263"/>
      <c r="H18" s="213">
        <v>180000</v>
      </c>
      <c r="I18" s="213">
        <v>0</v>
      </c>
      <c r="J18" s="78"/>
      <c r="K18" s="425"/>
      <c r="L18" s="213"/>
      <c r="M18" s="78"/>
      <c r="N18" s="233"/>
      <c r="O18" s="213"/>
      <c r="P18" s="10"/>
      <c r="T18" s="15"/>
      <c r="U18" s="5"/>
      <c r="V18" s="61"/>
      <c r="W18" s="47"/>
      <c r="X18" s="81"/>
      <c r="Y18" s="40"/>
    </row>
    <row r="19" spans="1:25" ht="19.5" thickBot="1">
      <c r="A19" s="12">
        <v>700</v>
      </c>
      <c r="B19" s="12"/>
      <c r="C19" s="13"/>
      <c r="D19" s="12" t="s">
        <v>5</v>
      </c>
      <c r="E19" s="215">
        <f>E20+E29</f>
        <v>729000</v>
      </c>
      <c r="F19" s="215">
        <f>F20+F29</f>
        <v>160270.01</v>
      </c>
      <c r="G19" s="261">
        <f t="shared" si="0"/>
        <v>0.21984912208504803</v>
      </c>
      <c r="H19" s="215">
        <f>H20+H29</f>
        <v>729000</v>
      </c>
      <c r="I19" s="215">
        <f>I20</f>
        <v>160270.01</v>
      </c>
      <c r="J19" s="79">
        <f aca="true" t="shared" si="1" ref="J19:J30">I19/H19</f>
        <v>0.21984912208504803</v>
      </c>
      <c r="K19" s="237"/>
      <c r="L19" s="215"/>
      <c r="M19" s="79"/>
      <c r="N19" s="237"/>
      <c r="O19" s="215"/>
      <c r="P19" s="14"/>
      <c r="T19" s="15">
        <v>14</v>
      </c>
      <c r="U19" s="25" t="e">
        <f>#REF!</f>
        <v>#REF!</v>
      </c>
      <c r="V19" s="61" t="e">
        <f>#REF!</f>
        <v>#REF!</v>
      </c>
      <c r="W19" s="47" t="e">
        <f>#REF!</f>
        <v>#REF!</v>
      </c>
      <c r="X19" s="81" t="e">
        <f>W19/#REF!</f>
        <v>#REF!</v>
      </c>
      <c r="Y19" s="40"/>
    </row>
    <row r="20" spans="1:25" ht="18.75">
      <c r="A20" s="19"/>
      <c r="B20" s="15">
        <v>70005</v>
      </c>
      <c r="C20" s="6"/>
      <c r="D20" s="15" t="s">
        <v>16</v>
      </c>
      <c r="E20" s="211">
        <f>SUM(E21:E28)</f>
        <v>545000</v>
      </c>
      <c r="F20" s="211">
        <f>SUM(F21:F28)</f>
        <v>160270.01</v>
      </c>
      <c r="G20" s="262">
        <f t="shared" si="0"/>
        <v>0.2940734128440367</v>
      </c>
      <c r="H20" s="211">
        <f>SUM(H21:H28)</f>
        <v>545000</v>
      </c>
      <c r="I20" s="211">
        <f>SUM(I21:I28)</f>
        <v>160270.01</v>
      </c>
      <c r="J20" s="379">
        <f t="shared" si="1"/>
        <v>0.2940734128440367</v>
      </c>
      <c r="K20" s="253"/>
      <c r="L20" s="211"/>
      <c r="M20" s="77"/>
      <c r="N20" s="253"/>
      <c r="O20" s="211"/>
      <c r="P20" s="26"/>
      <c r="T20" s="15">
        <v>15</v>
      </c>
      <c r="U20" s="174" t="e">
        <f>#REF!</f>
        <v>#REF!</v>
      </c>
      <c r="V20" s="89" t="e">
        <f>#REF!</f>
        <v>#REF!</v>
      </c>
      <c r="W20" s="56" t="e">
        <f>#REF!</f>
        <v>#REF!</v>
      </c>
      <c r="X20" s="90" t="e">
        <f>W20/#REF!</f>
        <v>#REF!</v>
      </c>
      <c r="Y20" s="40"/>
    </row>
    <row r="21" spans="1:181" s="91" customFormat="1" ht="37.5">
      <c r="A21" s="19"/>
      <c r="B21" s="15"/>
      <c r="C21" s="198" t="str">
        <f>"0470"</f>
        <v>0470</v>
      </c>
      <c r="D21" s="294" t="s">
        <v>144</v>
      </c>
      <c r="E21" s="213">
        <v>10000</v>
      </c>
      <c r="F21" s="213">
        <v>9761.58</v>
      </c>
      <c r="G21" s="263">
        <f t="shared" si="0"/>
        <v>0.976158</v>
      </c>
      <c r="H21" s="213">
        <v>10000</v>
      </c>
      <c r="I21" s="213">
        <v>9761.58</v>
      </c>
      <c r="J21" s="78">
        <f t="shared" si="1"/>
        <v>0.976158</v>
      </c>
      <c r="K21" s="253"/>
      <c r="L21" s="211"/>
      <c r="M21" s="77"/>
      <c r="N21" s="253"/>
      <c r="O21" s="211"/>
      <c r="P21" s="26"/>
      <c r="Q21" s="36"/>
      <c r="R21" s="36"/>
      <c r="S21" s="36"/>
      <c r="T21" s="171"/>
      <c r="U21" s="36"/>
      <c r="V21" s="36"/>
      <c r="W21" s="36"/>
      <c r="X21" s="175" t="e">
        <f>SUM(X7:X20)</f>
        <v>#REF!</v>
      </c>
      <c r="Y21" s="40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</row>
    <row r="22" spans="1:181" s="40" customFormat="1" ht="18.75">
      <c r="A22" s="19"/>
      <c r="B22" s="15"/>
      <c r="C22" s="285" t="s">
        <v>167</v>
      </c>
      <c r="D22" s="294" t="s">
        <v>236</v>
      </c>
      <c r="E22" s="213">
        <v>0</v>
      </c>
      <c r="F22" s="213">
        <v>2634</v>
      </c>
      <c r="G22" s="263" t="s">
        <v>166</v>
      </c>
      <c r="H22" s="213">
        <v>0</v>
      </c>
      <c r="I22" s="213">
        <v>2634</v>
      </c>
      <c r="J22" s="78"/>
      <c r="K22" s="253"/>
      <c r="L22" s="211"/>
      <c r="M22" s="77"/>
      <c r="N22" s="253"/>
      <c r="O22" s="211"/>
      <c r="P22" s="26"/>
      <c r="Q22" s="36"/>
      <c r="R22" s="36"/>
      <c r="S22" s="36"/>
      <c r="T22" s="207"/>
      <c r="U22" s="36"/>
      <c r="V22" s="36"/>
      <c r="W22" s="36"/>
      <c r="X22" s="175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</row>
    <row r="23" spans="1:25" ht="84.75" customHeight="1">
      <c r="A23" s="19"/>
      <c r="B23" s="15"/>
      <c r="C23" s="198" t="str">
        <f>"0750"</f>
        <v>0750</v>
      </c>
      <c r="D23" s="295" t="s">
        <v>145</v>
      </c>
      <c r="E23" s="213">
        <v>32000</v>
      </c>
      <c r="F23" s="213">
        <v>18589.05</v>
      </c>
      <c r="G23" s="263">
        <f t="shared" si="0"/>
        <v>0.5809078125</v>
      </c>
      <c r="H23" s="213">
        <v>32000</v>
      </c>
      <c r="I23" s="213">
        <v>18589.05</v>
      </c>
      <c r="J23" s="78">
        <f t="shared" si="1"/>
        <v>0.5809078125</v>
      </c>
      <c r="K23" s="233"/>
      <c r="L23" s="213"/>
      <c r="M23" s="78"/>
      <c r="N23" s="233"/>
      <c r="O23" s="213"/>
      <c r="P23" s="10"/>
      <c r="Y23" s="40"/>
    </row>
    <row r="24" spans="1:25" ht="56.25">
      <c r="A24" s="19"/>
      <c r="B24" s="15"/>
      <c r="C24" s="198" t="str">
        <f>"0760"</f>
        <v>0760</v>
      </c>
      <c r="D24" s="294" t="s">
        <v>107</v>
      </c>
      <c r="E24" s="213">
        <v>3000</v>
      </c>
      <c r="F24" s="213">
        <v>892.05</v>
      </c>
      <c r="G24" s="263">
        <f t="shared" si="0"/>
        <v>0.29735</v>
      </c>
      <c r="H24" s="213">
        <v>3000</v>
      </c>
      <c r="I24" s="213">
        <v>892.05</v>
      </c>
      <c r="J24" s="78">
        <f t="shared" si="1"/>
        <v>0.29735</v>
      </c>
      <c r="K24" s="233"/>
      <c r="L24" s="213"/>
      <c r="M24" s="78"/>
      <c r="N24" s="233"/>
      <c r="O24" s="213"/>
      <c r="P24" s="10"/>
      <c r="Y24" s="40"/>
    </row>
    <row r="25" spans="1:25" ht="37.5">
      <c r="A25" s="19"/>
      <c r="B25" s="15"/>
      <c r="C25" s="198" t="str">
        <f>"0770"</f>
        <v>0770</v>
      </c>
      <c r="D25" s="294" t="s">
        <v>134</v>
      </c>
      <c r="E25" s="213">
        <v>500000</v>
      </c>
      <c r="F25" s="213">
        <v>113777.67</v>
      </c>
      <c r="G25" s="263">
        <f t="shared" si="0"/>
        <v>0.22755534</v>
      </c>
      <c r="H25" s="213">
        <v>500000</v>
      </c>
      <c r="I25" s="213">
        <v>113777.67</v>
      </c>
      <c r="J25" s="78">
        <f t="shared" si="1"/>
        <v>0.22755534</v>
      </c>
      <c r="K25" s="233"/>
      <c r="L25" s="213"/>
      <c r="M25" s="78"/>
      <c r="N25" s="233"/>
      <c r="O25" s="213"/>
      <c r="P25" s="10"/>
      <c r="Y25" s="40"/>
    </row>
    <row r="26" spans="1:25" ht="18.75">
      <c r="A26" s="19"/>
      <c r="B26" s="15"/>
      <c r="C26" s="285" t="s">
        <v>168</v>
      </c>
      <c r="D26" s="294" t="s">
        <v>237</v>
      </c>
      <c r="E26" s="213">
        <v>0</v>
      </c>
      <c r="F26" s="213">
        <v>4334.85</v>
      </c>
      <c r="G26" s="263" t="s">
        <v>166</v>
      </c>
      <c r="H26" s="213">
        <v>0</v>
      </c>
      <c r="I26" s="213">
        <v>4334.85</v>
      </c>
      <c r="J26" s="78" t="s">
        <v>166</v>
      </c>
      <c r="K26" s="233"/>
      <c r="L26" s="213"/>
      <c r="M26" s="78"/>
      <c r="N26" s="233"/>
      <c r="O26" s="213"/>
      <c r="P26" s="10"/>
      <c r="Y26" s="40"/>
    </row>
    <row r="27" spans="1:16" ht="18.75">
      <c r="A27" s="19"/>
      <c r="B27" s="15"/>
      <c r="C27" s="6" t="str">
        <f>"0920"</f>
        <v>0920</v>
      </c>
      <c r="D27" s="296" t="s">
        <v>23</v>
      </c>
      <c r="E27" s="213">
        <v>0</v>
      </c>
      <c r="F27" s="213">
        <v>30.81</v>
      </c>
      <c r="G27" s="263" t="s">
        <v>166</v>
      </c>
      <c r="H27" s="213">
        <v>0</v>
      </c>
      <c r="I27" s="213">
        <v>30.81</v>
      </c>
      <c r="J27" s="78" t="s">
        <v>166</v>
      </c>
      <c r="K27" s="233"/>
      <c r="L27" s="213"/>
      <c r="M27" s="78"/>
      <c r="N27" s="233"/>
      <c r="O27" s="213"/>
      <c r="P27" s="10"/>
    </row>
    <row r="28" spans="1:16" ht="18.75">
      <c r="A28" s="19"/>
      <c r="B28" s="383"/>
      <c r="C28" s="432" t="s">
        <v>150</v>
      </c>
      <c r="D28" s="433" t="s">
        <v>238</v>
      </c>
      <c r="E28" s="386">
        <v>0</v>
      </c>
      <c r="F28" s="386">
        <v>10250</v>
      </c>
      <c r="G28" s="264" t="s">
        <v>166</v>
      </c>
      <c r="H28" s="386">
        <v>0</v>
      </c>
      <c r="I28" s="386">
        <v>10250</v>
      </c>
      <c r="J28" s="388" t="s">
        <v>166</v>
      </c>
      <c r="K28" s="389"/>
      <c r="L28" s="386"/>
      <c r="M28" s="388"/>
      <c r="N28" s="389"/>
      <c r="O28" s="387"/>
      <c r="P28" s="191"/>
    </row>
    <row r="29" spans="1:16" ht="18.75">
      <c r="A29" s="19"/>
      <c r="B29" s="15">
        <v>70095</v>
      </c>
      <c r="C29" s="272"/>
      <c r="D29" s="15" t="s">
        <v>4</v>
      </c>
      <c r="E29" s="211">
        <f>E30</f>
        <v>184000</v>
      </c>
      <c r="F29" s="211">
        <f>F30</f>
        <v>0</v>
      </c>
      <c r="G29" s="262">
        <f t="shared" si="0"/>
        <v>0</v>
      </c>
      <c r="H29" s="211">
        <f>H30</f>
        <v>184000</v>
      </c>
      <c r="I29" s="211">
        <f>I30</f>
        <v>0</v>
      </c>
      <c r="J29" s="431">
        <f t="shared" si="1"/>
        <v>0</v>
      </c>
      <c r="K29" s="233"/>
      <c r="L29" s="213"/>
      <c r="M29" s="78"/>
      <c r="N29" s="233"/>
      <c r="O29" s="214"/>
      <c r="P29" s="10"/>
    </row>
    <row r="30" spans="1:16" ht="94.5" thickBot="1">
      <c r="A30" s="19"/>
      <c r="B30" s="15"/>
      <c r="C30" s="198">
        <v>6207</v>
      </c>
      <c r="D30" s="294" t="s">
        <v>235</v>
      </c>
      <c r="E30" s="213">
        <v>184000</v>
      </c>
      <c r="F30" s="213">
        <v>0</v>
      </c>
      <c r="G30" s="263">
        <f t="shared" si="0"/>
        <v>0</v>
      </c>
      <c r="H30" s="213">
        <v>184000</v>
      </c>
      <c r="I30" s="213">
        <v>0</v>
      </c>
      <c r="J30" s="78">
        <f t="shared" si="1"/>
        <v>0</v>
      </c>
      <c r="K30" s="233"/>
      <c r="L30" s="213"/>
      <c r="M30" s="78"/>
      <c r="N30" s="233"/>
      <c r="O30" s="214"/>
      <c r="P30" s="10"/>
    </row>
    <row r="31" spans="1:16" ht="19.5" thickBot="1">
      <c r="A31" s="12">
        <v>710</v>
      </c>
      <c r="B31" s="12"/>
      <c r="C31" s="13"/>
      <c r="D31" s="12" t="s">
        <v>33</v>
      </c>
      <c r="E31" s="215">
        <f>E32+E34</f>
        <v>13000</v>
      </c>
      <c r="F31" s="215">
        <f>F32+F34</f>
        <v>8928.18</v>
      </c>
      <c r="G31" s="265">
        <f>F31/E31</f>
        <v>0.6867830769230769</v>
      </c>
      <c r="H31" s="215">
        <f>H32+H34</f>
        <v>10000</v>
      </c>
      <c r="I31" s="215">
        <f>I32+I34</f>
        <v>7428.18</v>
      </c>
      <c r="J31" s="79">
        <f>I31/H31</f>
        <v>0.742818</v>
      </c>
      <c r="K31" s="237"/>
      <c r="L31" s="215"/>
      <c r="M31" s="79"/>
      <c r="N31" s="237">
        <f>N32</f>
        <v>3000</v>
      </c>
      <c r="O31" s="237">
        <f>O32</f>
        <v>1500</v>
      </c>
      <c r="P31" s="185">
        <f>O31/N31</f>
        <v>0.5</v>
      </c>
    </row>
    <row r="32" spans="1:16" ht="18.75">
      <c r="A32" s="15"/>
      <c r="B32" s="15">
        <v>71035</v>
      </c>
      <c r="C32" s="6"/>
      <c r="D32" s="15" t="s">
        <v>34</v>
      </c>
      <c r="E32" s="211">
        <f>E33</f>
        <v>3000</v>
      </c>
      <c r="F32" s="211">
        <f>F33</f>
        <v>1500</v>
      </c>
      <c r="G32" s="262">
        <f>F32/E32</f>
        <v>0.5</v>
      </c>
      <c r="H32" s="211"/>
      <c r="I32" s="211"/>
      <c r="J32" s="77"/>
      <c r="K32" s="253"/>
      <c r="L32" s="211"/>
      <c r="M32" s="77"/>
      <c r="N32" s="253">
        <f>N33</f>
        <v>3000</v>
      </c>
      <c r="O32" s="253">
        <f>O33</f>
        <v>1500</v>
      </c>
      <c r="P32" s="8">
        <f>O32/N32</f>
        <v>0.5</v>
      </c>
    </row>
    <row r="33" spans="1:16" ht="56.25">
      <c r="A33" s="9"/>
      <c r="B33" s="9"/>
      <c r="C33" s="198">
        <v>2020</v>
      </c>
      <c r="D33" s="294" t="s">
        <v>165</v>
      </c>
      <c r="E33" s="213">
        <v>3000</v>
      </c>
      <c r="F33" s="213">
        <v>1500</v>
      </c>
      <c r="G33" s="263">
        <f>F33/E33</f>
        <v>0.5</v>
      </c>
      <c r="H33" s="214"/>
      <c r="I33" s="213"/>
      <c r="J33" s="78"/>
      <c r="K33" s="233"/>
      <c r="L33" s="213"/>
      <c r="M33" s="78"/>
      <c r="N33" s="233">
        <v>3000</v>
      </c>
      <c r="O33" s="233">
        <v>1500</v>
      </c>
      <c r="P33" s="10">
        <f>O33/N33</f>
        <v>0.5</v>
      </c>
    </row>
    <row r="34" spans="1:16" ht="18.75">
      <c r="A34" s="19"/>
      <c r="B34" s="22">
        <v>71097</v>
      </c>
      <c r="C34" s="21"/>
      <c r="D34" s="22" t="s">
        <v>140</v>
      </c>
      <c r="E34" s="218">
        <f>E35+E36</f>
        <v>10000</v>
      </c>
      <c r="F34" s="218">
        <f>F35+F36</f>
        <v>7428.18</v>
      </c>
      <c r="G34" s="85">
        <f aca="true" t="shared" si="2" ref="G34:G40">F34/E34</f>
        <v>0.742818</v>
      </c>
      <c r="H34" s="216">
        <f>H35+H36</f>
        <v>10000</v>
      </c>
      <c r="I34" s="216">
        <f>I35+I36</f>
        <v>7428.18</v>
      </c>
      <c r="J34" s="101">
        <f>I34/H34</f>
        <v>0.742818</v>
      </c>
      <c r="K34" s="243"/>
      <c r="L34" s="247"/>
      <c r="M34" s="99"/>
      <c r="N34" s="246"/>
      <c r="O34" s="247"/>
      <c r="P34" s="100"/>
    </row>
    <row r="35" spans="1:16" ht="18.75">
      <c r="A35" s="19"/>
      <c r="B35" s="15"/>
      <c r="C35" s="272" t="s">
        <v>167</v>
      </c>
      <c r="D35" s="294" t="s">
        <v>236</v>
      </c>
      <c r="E35" s="211">
        <v>0</v>
      </c>
      <c r="F35" s="211">
        <v>90</v>
      </c>
      <c r="G35" s="262" t="s">
        <v>166</v>
      </c>
      <c r="H35" s="211">
        <v>0</v>
      </c>
      <c r="I35" s="211">
        <v>90</v>
      </c>
      <c r="J35" s="94" t="s">
        <v>166</v>
      </c>
      <c r="K35" s="214"/>
      <c r="L35" s="213"/>
      <c r="M35" s="78"/>
      <c r="N35" s="233"/>
      <c r="O35" s="213"/>
      <c r="P35" s="10"/>
    </row>
    <row r="36" spans="1:16" ht="19.5" thickBot="1">
      <c r="A36" s="19"/>
      <c r="B36" s="15"/>
      <c r="C36" s="285" t="s">
        <v>150</v>
      </c>
      <c r="D36" s="295" t="s">
        <v>39</v>
      </c>
      <c r="E36" s="213">
        <v>10000</v>
      </c>
      <c r="F36" s="213">
        <v>7338.18</v>
      </c>
      <c r="G36" s="262">
        <f t="shared" si="2"/>
        <v>0.7338180000000001</v>
      </c>
      <c r="H36" s="213">
        <v>10000</v>
      </c>
      <c r="I36" s="213">
        <v>7338.18</v>
      </c>
      <c r="J36" s="188">
        <f>I36/H36</f>
        <v>0.7338180000000001</v>
      </c>
      <c r="K36" s="214"/>
      <c r="L36" s="213"/>
      <c r="M36" s="78"/>
      <c r="N36" s="233"/>
      <c r="O36" s="213"/>
      <c r="P36" s="10"/>
    </row>
    <row r="37" spans="1:181" s="40" customFormat="1" ht="19.5" thickBot="1">
      <c r="A37" s="12">
        <v>750</v>
      </c>
      <c r="B37" s="12"/>
      <c r="C37" s="13"/>
      <c r="D37" s="12" t="s">
        <v>24</v>
      </c>
      <c r="E37" s="215">
        <f>E38+E41+E43+E48</f>
        <v>365180</v>
      </c>
      <c r="F37" s="215">
        <f>F38+F41+F43+F48</f>
        <v>146206.34</v>
      </c>
      <c r="G37" s="261">
        <f t="shared" si="2"/>
        <v>0.40036787337751245</v>
      </c>
      <c r="H37" s="215">
        <f>H38+H41+H43+H48</f>
        <v>270180</v>
      </c>
      <c r="I37" s="215">
        <f>I38+I41+I43+I48</f>
        <v>94875.34</v>
      </c>
      <c r="J37" s="93">
        <f>I37/H37</f>
        <v>0.35115604411873563</v>
      </c>
      <c r="K37" s="221">
        <f>K38</f>
        <v>95000</v>
      </c>
      <c r="L37" s="215">
        <f>L38</f>
        <v>51331</v>
      </c>
      <c r="M37" s="93">
        <f>L37/K37</f>
        <v>0.5403263157894737</v>
      </c>
      <c r="N37" s="237"/>
      <c r="O37" s="215"/>
      <c r="P37" s="14"/>
      <c r="Q37" s="36"/>
      <c r="R37" s="36"/>
      <c r="S37" s="36"/>
      <c r="T37" s="36"/>
      <c r="U37" s="36"/>
      <c r="V37" s="36"/>
      <c r="W37" s="36"/>
      <c r="X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</row>
    <row r="38" spans="1:181" s="40" customFormat="1" ht="18.75">
      <c r="A38" s="25"/>
      <c r="B38" s="15">
        <v>75011</v>
      </c>
      <c r="C38" s="6"/>
      <c r="D38" s="15" t="s">
        <v>12</v>
      </c>
      <c r="E38" s="211">
        <f>SUM(E39:E40)</f>
        <v>95180</v>
      </c>
      <c r="F38" s="211">
        <f>SUM(F39:F40)</f>
        <v>51335.65</v>
      </c>
      <c r="G38" s="262">
        <f t="shared" si="2"/>
        <v>0.5393533305316243</v>
      </c>
      <c r="H38" s="211">
        <f>SUM(H39:H40)</f>
        <v>180</v>
      </c>
      <c r="I38" s="211">
        <f>SUM(I39:I40)</f>
        <v>4.65</v>
      </c>
      <c r="J38" s="77">
        <f>I38/H38</f>
        <v>0.025833333333333337</v>
      </c>
      <c r="K38" s="253">
        <f>K39</f>
        <v>95000</v>
      </c>
      <c r="L38" s="253">
        <f>L39</f>
        <v>51331</v>
      </c>
      <c r="M38" s="77">
        <f>L38/K38</f>
        <v>0.5403263157894737</v>
      </c>
      <c r="N38" s="253"/>
      <c r="O38" s="211"/>
      <c r="P38" s="26"/>
      <c r="Q38" s="36"/>
      <c r="R38" s="36"/>
      <c r="S38" s="36"/>
      <c r="T38" s="36"/>
      <c r="U38" s="36"/>
      <c r="V38" s="36"/>
      <c r="W38" s="36"/>
      <c r="X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</row>
    <row r="39" spans="1:181" s="40" customFormat="1" ht="76.5" customHeight="1">
      <c r="A39" s="174"/>
      <c r="B39" s="301"/>
      <c r="C39" s="302">
        <v>2010</v>
      </c>
      <c r="D39" s="321" t="s">
        <v>149</v>
      </c>
      <c r="E39" s="303">
        <v>95000</v>
      </c>
      <c r="F39" s="303">
        <v>51331</v>
      </c>
      <c r="G39" s="380">
        <f t="shared" si="2"/>
        <v>0.5403263157894737</v>
      </c>
      <c r="H39" s="304"/>
      <c r="I39" s="303"/>
      <c r="J39" s="305"/>
      <c r="K39" s="306">
        <v>95000</v>
      </c>
      <c r="L39" s="303">
        <v>51331</v>
      </c>
      <c r="M39" s="305">
        <f>L39/K39</f>
        <v>0.5403263157894737</v>
      </c>
      <c r="N39" s="306"/>
      <c r="O39" s="303"/>
      <c r="P39" s="307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</row>
    <row r="40" spans="1:25" ht="56.25">
      <c r="A40" s="308"/>
      <c r="B40" s="309"/>
      <c r="C40" s="310">
        <v>2360</v>
      </c>
      <c r="D40" s="311" t="s">
        <v>108</v>
      </c>
      <c r="E40" s="312">
        <v>180</v>
      </c>
      <c r="F40" s="312">
        <v>4.65</v>
      </c>
      <c r="G40" s="381">
        <f t="shared" si="2"/>
        <v>0.025833333333333337</v>
      </c>
      <c r="H40" s="313">
        <v>180</v>
      </c>
      <c r="I40" s="312">
        <v>4.65</v>
      </c>
      <c r="J40" s="314">
        <f>I40/H40</f>
        <v>0.025833333333333337</v>
      </c>
      <c r="K40" s="315"/>
      <c r="L40" s="313"/>
      <c r="M40" s="316"/>
      <c r="N40" s="315"/>
      <c r="O40" s="313"/>
      <c r="P40" s="317"/>
      <c r="Y40" s="40"/>
    </row>
    <row r="41" spans="1:25" ht="18.75">
      <c r="A41" s="19"/>
      <c r="B41" s="22">
        <v>75023</v>
      </c>
      <c r="C41" s="21"/>
      <c r="D41" s="22" t="s">
        <v>25</v>
      </c>
      <c r="E41" s="218">
        <f>SUM(E42:E42)</f>
        <v>0</v>
      </c>
      <c r="F41" s="218">
        <f>SUM(F42:F42)</f>
        <v>640.88</v>
      </c>
      <c r="G41" s="382" t="s">
        <v>166</v>
      </c>
      <c r="H41" s="218">
        <f>SUM(H42:H42)</f>
        <v>0</v>
      </c>
      <c r="I41" s="218">
        <f>SUM(I42:I42)</f>
        <v>640.88</v>
      </c>
      <c r="J41" s="86" t="s">
        <v>166</v>
      </c>
      <c r="K41" s="232"/>
      <c r="L41" s="232"/>
      <c r="M41" s="46"/>
      <c r="N41" s="232"/>
      <c r="O41" s="232"/>
      <c r="P41" s="27"/>
      <c r="Y41" s="40"/>
    </row>
    <row r="42" spans="1:25" ht="19.5" thickBot="1">
      <c r="A42" s="19"/>
      <c r="B42" s="15"/>
      <c r="C42" s="272" t="s">
        <v>150</v>
      </c>
      <c r="D42" s="295" t="s">
        <v>39</v>
      </c>
      <c r="E42" s="213">
        <v>0</v>
      </c>
      <c r="F42" s="213">
        <v>640.88</v>
      </c>
      <c r="G42" s="263" t="s">
        <v>166</v>
      </c>
      <c r="H42" s="214">
        <v>0</v>
      </c>
      <c r="I42" s="213">
        <v>640.88</v>
      </c>
      <c r="J42" s="78" t="s">
        <v>166</v>
      </c>
      <c r="K42" s="233"/>
      <c r="L42" s="213"/>
      <c r="M42" s="78"/>
      <c r="N42" s="233"/>
      <c r="O42" s="213"/>
      <c r="P42" s="10"/>
      <c r="Y42" s="40"/>
    </row>
    <row r="43" spans="1:181" s="83" customFormat="1" ht="19.5" thickBot="1">
      <c r="A43" s="19"/>
      <c r="B43" s="22">
        <v>75075</v>
      </c>
      <c r="C43" s="21"/>
      <c r="D43" s="22" t="s">
        <v>99</v>
      </c>
      <c r="E43" s="218">
        <f>SUM(E44:E47)</f>
        <v>32000</v>
      </c>
      <c r="F43" s="218">
        <f>SUM(F44:F47)</f>
        <v>9500</v>
      </c>
      <c r="G43" s="85">
        <f>F43/E43</f>
        <v>0.296875</v>
      </c>
      <c r="H43" s="218">
        <f>SUM(H44:H47)</f>
        <v>32000</v>
      </c>
      <c r="I43" s="218">
        <f>SUM(I44:I47)</f>
        <v>9500</v>
      </c>
      <c r="J43" s="86">
        <f aca="true" t="shared" si="3" ref="J43:J48">I43/H43</f>
        <v>0.296875</v>
      </c>
      <c r="K43" s="232"/>
      <c r="L43" s="232"/>
      <c r="M43" s="46"/>
      <c r="N43" s="232"/>
      <c r="O43" s="232"/>
      <c r="P43" s="27"/>
      <c r="Q43" s="53"/>
      <c r="R43" s="53"/>
      <c r="S43" s="53"/>
      <c r="T43" s="36"/>
      <c r="U43" s="36"/>
      <c r="V43" s="36"/>
      <c r="W43" s="36"/>
      <c r="X43" s="36"/>
      <c r="Y43" s="73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</row>
    <row r="44" spans="1:181" s="73" customFormat="1" ht="18.75">
      <c r="A44" s="19"/>
      <c r="B44" s="15"/>
      <c r="C44" s="272" t="s">
        <v>168</v>
      </c>
      <c r="D44" s="296" t="s">
        <v>6</v>
      </c>
      <c r="E44" s="213">
        <v>2000</v>
      </c>
      <c r="F44" s="213">
        <v>1000</v>
      </c>
      <c r="G44" s="263">
        <f>F44/E44</f>
        <v>0.5</v>
      </c>
      <c r="H44" s="214">
        <v>2000</v>
      </c>
      <c r="I44" s="213">
        <v>1000</v>
      </c>
      <c r="J44" s="78">
        <f t="shared" si="3"/>
        <v>0.5</v>
      </c>
      <c r="K44" s="253"/>
      <c r="L44" s="212"/>
      <c r="M44" s="286"/>
      <c r="N44" s="253"/>
      <c r="O44" s="212"/>
      <c r="P44" s="287"/>
      <c r="Q44" s="53"/>
      <c r="R44" s="53"/>
      <c r="S44" s="53"/>
      <c r="T44" s="36"/>
      <c r="U44" s="36"/>
      <c r="V44" s="36"/>
      <c r="W44" s="36"/>
      <c r="X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</row>
    <row r="45" spans="1:181" s="73" customFormat="1" ht="37.5">
      <c r="A45" s="19"/>
      <c r="B45" s="15"/>
      <c r="C45" s="285" t="s">
        <v>151</v>
      </c>
      <c r="D45" s="295" t="s">
        <v>152</v>
      </c>
      <c r="E45" s="213">
        <v>25000</v>
      </c>
      <c r="F45" s="213">
        <v>4200</v>
      </c>
      <c r="G45" s="263">
        <f>F45/E45</f>
        <v>0.168</v>
      </c>
      <c r="H45" s="214">
        <v>25000</v>
      </c>
      <c r="I45" s="213">
        <v>4200</v>
      </c>
      <c r="J45" s="78">
        <f t="shared" si="3"/>
        <v>0.168</v>
      </c>
      <c r="K45" s="253"/>
      <c r="L45" s="212"/>
      <c r="M45" s="286"/>
      <c r="N45" s="253"/>
      <c r="O45" s="212"/>
      <c r="P45" s="287"/>
      <c r="Q45" s="53"/>
      <c r="R45" s="53"/>
      <c r="S45" s="53"/>
      <c r="T45" s="36"/>
      <c r="U45" s="36"/>
      <c r="V45" s="36"/>
      <c r="W45" s="36"/>
      <c r="X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</row>
    <row r="46" spans="1:25" ht="18.75">
      <c r="A46" s="19"/>
      <c r="B46" s="15"/>
      <c r="C46" s="6" t="str">
        <f>"0970"</f>
        <v>0970</v>
      </c>
      <c r="D46" s="320" t="s">
        <v>39</v>
      </c>
      <c r="E46" s="213">
        <v>5000</v>
      </c>
      <c r="F46" s="213">
        <v>0</v>
      </c>
      <c r="G46" s="263">
        <f>F46/E46</f>
        <v>0</v>
      </c>
      <c r="H46" s="214">
        <v>5000</v>
      </c>
      <c r="I46" s="213">
        <v>0</v>
      </c>
      <c r="J46" s="78">
        <f t="shared" si="3"/>
        <v>0</v>
      </c>
      <c r="K46" s="233"/>
      <c r="L46" s="214"/>
      <c r="M46" s="139"/>
      <c r="N46" s="233"/>
      <c r="O46" s="214"/>
      <c r="P46" s="173"/>
      <c r="Y46" s="40"/>
    </row>
    <row r="47" spans="1:25" ht="75.75" thickBot="1">
      <c r="A47" s="19"/>
      <c r="B47" s="15"/>
      <c r="C47" s="198">
        <v>2700</v>
      </c>
      <c r="D47" s="295" t="s">
        <v>239</v>
      </c>
      <c r="E47" s="213">
        <v>0</v>
      </c>
      <c r="F47" s="213">
        <v>4300</v>
      </c>
      <c r="G47" s="263" t="s">
        <v>166</v>
      </c>
      <c r="H47" s="214">
        <v>0</v>
      </c>
      <c r="I47" s="213">
        <v>4300</v>
      </c>
      <c r="J47" s="78" t="s">
        <v>166</v>
      </c>
      <c r="K47" s="233"/>
      <c r="L47" s="214"/>
      <c r="M47" s="139"/>
      <c r="N47" s="233"/>
      <c r="O47" s="214"/>
      <c r="P47" s="173"/>
      <c r="Y47" s="40"/>
    </row>
    <row r="48" spans="1:181" s="83" customFormat="1" ht="19.5" thickBot="1">
      <c r="A48" s="19"/>
      <c r="B48" s="22">
        <v>75095</v>
      </c>
      <c r="C48" s="21"/>
      <c r="D48" s="22" t="s">
        <v>4</v>
      </c>
      <c r="E48" s="218">
        <f>E50</f>
        <v>238000</v>
      </c>
      <c r="F48" s="218">
        <f>F49+F50</f>
        <v>84729.81</v>
      </c>
      <c r="G48" s="85">
        <f aca="true" t="shared" si="4" ref="G48:G55">F48/E48</f>
        <v>0.3560076050420168</v>
      </c>
      <c r="H48" s="218">
        <f>H50</f>
        <v>238000</v>
      </c>
      <c r="I48" s="218">
        <f>I49+I50</f>
        <v>84729.81</v>
      </c>
      <c r="J48" s="86">
        <f t="shared" si="3"/>
        <v>0.3560076050420168</v>
      </c>
      <c r="K48" s="232"/>
      <c r="L48" s="232"/>
      <c r="M48" s="46"/>
      <c r="N48" s="232"/>
      <c r="O48" s="232"/>
      <c r="P48" s="27"/>
      <c r="Q48" s="53"/>
      <c r="R48" s="53"/>
      <c r="S48" s="53"/>
      <c r="T48" s="36"/>
      <c r="U48" s="36"/>
      <c r="V48" s="36"/>
      <c r="W48" s="36"/>
      <c r="X48" s="36"/>
      <c r="Y48" s="73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</row>
    <row r="49" spans="1:181" s="73" customFormat="1" ht="18.75">
      <c r="A49" s="19"/>
      <c r="B49" s="15"/>
      <c r="C49" s="272" t="s">
        <v>168</v>
      </c>
      <c r="D49" s="296" t="s">
        <v>6</v>
      </c>
      <c r="E49" s="213">
        <v>0</v>
      </c>
      <c r="F49" s="213">
        <v>297.76</v>
      </c>
      <c r="G49" s="262"/>
      <c r="H49" s="213">
        <v>0</v>
      </c>
      <c r="I49" s="213">
        <v>297.76</v>
      </c>
      <c r="J49" s="77"/>
      <c r="K49" s="253"/>
      <c r="L49" s="212"/>
      <c r="M49" s="286"/>
      <c r="N49" s="253"/>
      <c r="O49" s="212"/>
      <c r="P49" s="287"/>
      <c r="Q49" s="53"/>
      <c r="R49" s="53"/>
      <c r="S49" s="53"/>
      <c r="T49" s="36"/>
      <c r="U49" s="36"/>
      <c r="V49" s="36"/>
      <c r="W49" s="36"/>
      <c r="X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</row>
    <row r="50" spans="1:25" ht="57" thickBot="1">
      <c r="A50" s="19"/>
      <c r="B50" s="15"/>
      <c r="C50" s="285" t="s">
        <v>169</v>
      </c>
      <c r="D50" s="294" t="s">
        <v>170</v>
      </c>
      <c r="E50" s="213">
        <v>238000</v>
      </c>
      <c r="F50" s="213">
        <v>84432.05</v>
      </c>
      <c r="G50" s="264">
        <f t="shared" si="4"/>
        <v>0.35475651260504204</v>
      </c>
      <c r="H50" s="213">
        <v>238000</v>
      </c>
      <c r="I50" s="213">
        <v>84432.05</v>
      </c>
      <c r="J50" s="78">
        <f>I50/H50</f>
        <v>0.35475651260504204</v>
      </c>
      <c r="K50" s="233"/>
      <c r="L50" s="213"/>
      <c r="M50" s="78"/>
      <c r="N50" s="233"/>
      <c r="O50" s="213"/>
      <c r="P50" s="10"/>
      <c r="Y50" s="40"/>
    </row>
    <row r="51" spans="1:16" ht="38.25" thickBot="1">
      <c r="A51" s="196">
        <v>751</v>
      </c>
      <c r="B51" s="12"/>
      <c r="C51" s="12"/>
      <c r="D51" s="195" t="s">
        <v>109</v>
      </c>
      <c r="E51" s="215">
        <f>E52+E54</f>
        <v>13470</v>
      </c>
      <c r="F51" s="215">
        <f>F52+F54</f>
        <v>12960</v>
      </c>
      <c r="G51" s="261">
        <f t="shared" si="4"/>
        <v>0.9621380846325167</v>
      </c>
      <c r="H51" s="251"/>
      <c r="I51" s="252"/>
      <c r="J51" s="190"/>
      <c r="K51" s="221">
        <f>K52+K54</f>
        <v>13470</v>
      </c>
      <c r="L51" s="221">
        <f>L52+L54</f>
        <v>12960</v>
      </c>
      <c r="M51" s="79">
        <f>L51/K51</f>
        <v>0.9621380846325167</v>
      </c>
      <c r="N51" s="237"/>
      <c r="O51" s="215"/>
      <c r="P51" s="14"/>
    </row>
    <row r="52" spans="1:16" ht="37.5">
      <c r="A52" s="19"/>
      <c r="B52" s="199">
        <v>75101</v>
      </c>
      <c r="C52" s="15"/>
      <c r="D52" s="44" t="s">
        <v>110</v>
      </c>
      <c r="E52" s="211">
        <f>E53</f>
        <v>1020</v>
      </c>
      <c r="F52" s="211">
        <f>F53</f>
        <v>510</v>
      </c>
      <c r="G52" s="262">
        <f t="shared" si="4"/>
        <v>0.5</v>
      </c>
      <c r="H52" s="212"/>
      <c r="I52" s="211"/>
      <c r="J52" s="94"/>
      <c r="K52" s="212">
        <f>K53</f>
        <v>1020</v>
      </c>
      <c r="L52" s="211">
        <f>L53</f>
        <v>510</v>
      </c>
      <c r="M52" s="77">
        <f>L52/K52</f>
        <v>0.5</v>
      </c>
      <c r="N52" s="253"/>
      <c r="O52" s="211"/>
      <c r="P52" s="26"/>
    </row>
    <row r="53" spans="1:16" ht="80.25" customHeight="1">
      <c r="A53" s="19"/>
      <c r="B53" s="383"/>
      <c r="C53" s="384">
        <v>2010</v>
      </c>
      <c r="D53" s="385" t="s">
        <v>149</v>
      </c>
      <c r="E53" s="386">
        <v>1020</v>
      </c>
      <c r="F53" s="386">
        <v>510</v>
      </c>
      <c r="G53" s="264">
        <f t="shared" si="4"/>
        <v>0.5</v>
      </c>
      <c r="H53" s="387"/>
      <c r="I53" s="386"/>
      <c r="J53" s="388"/>
      <c r="K53" s="389">
        <v>1020</v>
      </c>
      <c r="L53" s="386">
        <v>510</v>
      </c>
      <c r="M53" s="388">
        <f>L53/K53</f>
        <v>0.5</v>
      </c>
      <c r="N53" s="389"/>
      <c r="O53" s="386"/>
      <c r="P53" s="191"/>
    </row>
    <row r="54" spans="1:16" ht="26.25" customHeight="1">
      <c r="A54" s="19"/>
      <c r="B54" s="199">
        <v>75107</v>
      </c>
      <c r="C54" s="199"/>
      <c r="D54" s="292" t="s">
        <v>251</v>
      </c>
      <c r="E54" s="211">
        <f>E55</f>
        <v>12450</v>
      </c>
      <c r="F54" s="211">
        <f>F55</f>
        <v>12450</v>
      </c>
      <c r="G54" s="262">
        <f t="shared" si="4"/>
        <v>1</v>
      </c>
      <c r="H54" s="212"/>
      <c r="I54" s="211"/>
      <c r="J54" s="77"/>
      <c r="K54" s="253">
        <f>K55</f>
        <v>12450</v>
      </c>
      <c r="L54" s="211">
        <f>L55</f>
        <v>12450</v>
      </c>
      <c r="M54" s="77">
        <f>L54/K54</f>
        <v>1</v>
      </c>
      <c r="N54" s="233"/>
      <c r="O54" s="213"/>
      <c r="P54" s="10"/>
    </row>
    <row r="55" spans="1:16" ht="80.25" customHeight="1" thickBot="1">
      <c r="A55" s="19"/>
      <c r="B55" s="15"/>
      <c r="C55" s="199">
        <v>2010</v>
      </c>
      <c r="D55" s="295" t="s">
        <v>149</v>
      </c>
      <c r="E55" s="213">
        <v>12450</v>
      </c>
      <c r="F55" s="213">
        <v>12450</v>
      </c>
      <c r="G55" s="263">
        <f t="shared" si="4"/>
        <v>1</v>
      </c>
      <c r="H55" s="214"/>
      <c r="I55" s="213"/>
      <c r="J55" s="78"/>
      <c r="K55" s="233">
        <v>12450</v>
      </c>
      <c r="L55" s="213">
        <v>12450</v>
      </c>
      <c r="M55" s="78">
        <f>L55/K55</f>
        <v>1</v>
      </c>
      <c r="N55" s="233"/>
      <c r="O55" s="213"/>
      <c r="P55" s="10"/>
    </row>
    <row r="56" spans="1:16" ht="67.5" customHeight="1" thickBot="1">
      <c r="A56" s="201">
        <v>756</v>
      </c>
      <c r="B56" s="12"/>
      <c r="C56" s="13"/>
      <c r="D56" s="195" t="s">
        <v>111</v>
      </c>
      <c r="E56" s="215">
        <f>E57+E59+E66+E76+E84+E87</f>
        <v>3934730</v>
      </c>
      <c r="F56" s="215">
        <f>F57+F59+F66+F76+F84+F87</f>
        <v>2049065.3</v>
      </c>
      <c r="G56" s="261">
        <f>$F:$F/$E:$E</f>
        <v>0.5207638897713439</v>
      </c>
      <c r="H56" s="215">
        <f>H57+H59+H66+H76+H84+H87</f>
        <v>3934730</v>
      </c>
      <c r="I56" s="215">
        <f>I57+I59+I66+I76+I84+I87</f>
        <v>2049065.3</v>
      </c>
      <c r="J56" s="79">
        <f>I56/H56</f>
        <v>0.5207638897713439</v>
      </c>
      <c r="K56" s="237"/>
      <c r="L56" s="252"/>
      <c r="M56" s="87"/>
      <c r="N56" s="237"/>
      <c r="O56" s="252"/>
      <c r="P56" s="88"/>
    </row>
    <row r="57" spans="1:16" ht="18.75">
      <c r="A57" s="19"/>
      <c r="B57" s="15">
        <v>75601</v>
      </c>
      <c r="C57" s="6"/>
      <c r="D57" s="15" t="s">
        <v>112</v>
      </c>
      <c r="E57" s="211">
        <f>E58</f>
        <v>3500</v>
      </c>
      <c r="F57" s="211">
        <f>F58</f>
        <v>1711.26</v>
      </c>
      <c r="G57" s="262">
        <f aca="true" t="shared" si="5" ref="G57:G63">F57/E57</f>
        <v>0.4889314285714286</v>
      </c>
      <c r="H57" s="211">
        <f>H58</f>
        <v>3500</v>
      </c>
      <c r="I57" s="211">
        <f>I58</f>
        <v>1711.26</v>
      </c>
      <c r="J57" s="77">
        <f>I58/H58</f>
        <v>0.4889314285714286</v>
      </c>
      <c r="K57" s="253"/>
      <c r="L57" s="211"/>
      <c r="M57" s="55"/>
      <c r="N57" s="253"/>
      <c r="O57" s="211"/>
      <c r="P57" s="15"/>
    </row>
    <row r="58" spans="1:16" ht="37.5">
      <c r="A58" s="19"/>
      <c r="B58" s="15"/>
      <c r="C58" s="198" t="str">
        <f>"0350"</f>
        <v>0350</v>
      </c>
      <c r="D58" s="294" t="s">
        <v>113</v>
      </c>
      <c r="E58" s="213">
        <v>3500</v>
      </c>
      <c r="F58" s="213">
        <v>1711.26</v>
      </c>
      <c r="G58" s="263">
        <f t="shared" si="5"/>
        <v>0.4889314285714286</v>
      </c>
      <c r="H58" s="214">
        <v>3500</v>
      </c>
      <c r="I58" s="213">
        <v>1711.26</v>
      </c>
      <c r="J58" s="78">
        <f aca="true" t="shared" si="6" ref="J58:J63">I58/H58</f>
        <v>0.4889314285714286</v>
      </c>
      <c r="K58" s="233"/>
      <c r="L58" s="213"/>
      <c r="M58" s="96"/>
      <c r="N58" s="233"/>
      <c r="O58" s="213"/>
      <c r="P58" s="9"/>
    </row>
    <row r="59" spans="1:16" ht="75">
      <c r="A59" s="19"/>
      <c r="B59" s="200">
        <v>75615</v>
      </c>
      <c r="C59" s="21"/>
      <c r="D59" s="186" t="s">
        <v>115</v>
      </c>
      <c r="E59" s="218">
        <f>SUM(E60:E65)</f>
        <v>1016000</v>
      </c>
      <c r="F59" s="218">
        <f>SUM(F60:F65)</f>
        <v>627400.88</v>
      </c>
      <c r="G59" s="85">
        <f t="shared" si="5"/>
        <v>0.6175205511811024</v>
      </c>
      <c r="H59" s="218">
        <f>SUM(H60:H65)</f>
        <v>1016000</v>
      </c>
      <c r="I59" s="218">
        <f>SUM(I60:I65)</f>
        <v>627400.88</v>
      </c>
      <c r="J59" s="86">
        <f t="shared" si="6"/>
        <v>0.6175205511811024</v>
      </c>
      <c r="K59" s="232"/>
      <c r="L59" s="218"/>
      <c r="M59" s="86"/>
      <c r="N59" s="232"/>
      <c r="O59" s="218"/>
      <c r="P59" s="23"/>
    </row>
    <row r="60" spans="1:16" ht="18.75">
      <c r="A60" s="19"/>
      <c r="B60" s="15"/>
      <c r="C60" s="6" t="str">
        <f>"0310"</f>
        <v>0310</v>
      </c>
      <c r="D60" s="296" t="s">
        <v>10</v>
      </c>
      <c r="E60" s="213">
        <v>680000</v>
      </c>
      <c r="F60" s="213">
        <v>452956.25</v>
      </c>
      <c r="G60" s="263">
        <f t="shared" si="5"/>
        <v>0.6661121323529412</v>
      </c>
      <c r="H60" s="213">
        <v>680000</v>
      </c>
      <c r="I60" s="213">
        <v>452956.25</v>
      </c>
      <c r="J60" s="78">
        <f t="shared" si="6"/>
        <v>0.6661121323529412</v>
      </c>
      <c r="K60" s="233"/>
      <c r="L60" s="213"/>
      <c r="M60" s="96"/>
      <c r="N60" s="233"/>
      <c r="O60" s="213"/>
      <c r="P60" s="9"/>
    </row>
    <row r="61" spans="1:16" ht="18.75">
      <c r="A61" s="19"/>
      <c r="B61" s="15"/>
      <c r="C61" s="6" t="str">
        <f>"0320"</f>
        <v>0320</v>
      </c>
      <c r="D61" s="296" t="s">
        <v>8</v>
      </c>
      <c r="E61" s="213">
        <v>148000</v>
      </c>
      <c r="F61" s="213">
        <v>84693.3</v>
      </c>
      <c r="G61" s="263">
        <f t="shared" si="5"/>
        <v>0.572252027027027</v>
      </c>
      <c r="H61" s="213">
        <v>148000</v>
      </c>
      <c r="I61" s="213">
        <v>84693.3</v>
      </c>
      <c r="J61" s="78">
        <f t="shared" si="6"/>
        <v>0.572252027027027</v>
      </c>
      <c r="K61" s="233"/>
      <c r="L61" s="213"/>
      <c r="M61" s="78"/>
      <c r="N61" s="233"/>
      <c r="O61" s="213"/>
      <c r="P61" s="10"/>
    </row>
    <row r="62" spans="1:16" ht="18.75">
      <c r="A62" s="19"/>
      <c r="B62" s="15"/>
      <c r="C62" s="6" t="str">
        <f>"0330"</f>
        <v>0330</v>
      </c>
      <c r="D62" s="296" t="s">
        <v>9</v>
      </c>
      <c r="E62" s="213">
        <v>178000</v>
      </c>
      <c r="F62" s="213">
        <v>85597.59</v>
      </c>
      <c r="G62" s="263">
        <f t="shared" si="5"/>
        <v>0.48088533707865166</v>
      </c>
      <c r="H62" s="213">
        <v>178000</v>
      </c>
      <c r="I62" s="213">
        <v>85597.59</v>
      </c>
      <c r="J62" s="78">
        <f t="shared" si="6"/>
        <v>0.48088533707865166</v>
      </c>
      <c r="K62" s="233"/>
      <c r="L62" s="213"/>
      <c r="M62" s="78"/>
      <c r="N62" s="233"/>
      <c r="O62" s="213"/>
      <c r="P62" s="10"/>
    </row>
    <row r="63" spans="1:16" ht="18.75">
      <c r="A63" s="19"/>
      <c r="B63" s="15"/>
      <c r="C63" s="6" t="str">
        <f>"0340"</f>
        <v>0340</v>
      </c>
      <c r="D63" s="296" t="s">
        <v>116</v>
      </c>
      <c r="E63" s="213">
        <v>2000</v>
      </c>
      <c r="F63" s="213">
        <v>2242</v>
      </c>
      <c r="G63" s="263">
        <f t="shared" si="5"/>
        <v>1.121</v>
      </c>
      <c r="H63" s="213">
        <v>2000</v>
      </c>
      <c r="I63" s="213">
        <v>2242</v>
      </c>
      <c r="J63" s="78">
        <f t="shared" si="6"/>
        <v>1.121</v>
      </c>
      <c r="K63" s="233"/>
      <c r="L63" s="213"/>
      <c r="M63" s="78"/>
      <c r="N63" s="233"/>
      <c r="O63" s="213"/>
      <c r="P63" s="10"/>
    </row>
    <row r="64" spans="1:25" ht="19.5" thickBot="1">
      <c r="A64" s="19"/>
      <c r="B64" s="15"/>
      <c r="C64" s="272" t="s">
        <v>167</v>
      </c>
      <c r="D64" s="294" t="s">
        <v>236</v>
      </c>
      <c r="E64" s="213">
        <v>0</v>
      </c>
      <c r="F64" s="213">
        <v>158.4</v>
      </c>
      <c r="G64" s="263" t="s">
        <v>166</v>
      </c>
      <c r="H64" s="213">
        <v>0</v>
      </c>
      <c r="I64" s="213">
        <v>158.4</v>
      </c>
      <c r="J64" s="78" t="s">
        <v>166</v>
      </c>
      <c r="K64" s="233"/>
      <c r="L64" s="213"/>
      <c r="M64" s="78"/>
      <c r="N64" s="233"/>
      <c r="O64" s="213"/>
      <c r="P64" s="10"/>
      <c r="Y64" s="40"/>
    </row>
    <row r="65" spans="1:181" s="83" customFormat="1" ht="38.25" thickBot="1">
      <c r="A65" s="19"/>
      <c r="B65" s="15"/>
      <c r="C65" s="285" t="s">
        <v>216</v>
      </c>
      <c r="D65" s="295" t="s">
        <v>114</v>
      </c>
      <c r="E65" s="213">
        <v>8000</v>
      </c>
      <c r="F65" s="213">
        <v>1753.34</v>
      </c>
      <c r="G65" s="263" t="s">
        <v>166</v>
      </c>
      <c r="H65" s="213">
        <v>8000</v>
      </c>
      <c r="I65" s="213">
        <v>1753.34</v>
      </c>
      <c r="J65" s="78" t="s">
        <v>166</v>
      </c>
      <c r="K65" s="233"/>
      <c r="L65" s="213"/>
      <c r="M65" s="78"/>
      <c r="N65" s="233"/>
      <c r="O65" s="213"/>
      <c r="P65" s="10"/>
      <c r="Q65" s="53"/>
      <c r="R65" s="53"/>
      <c r="S65" s="53"/>
      <c r="T65" s="53"/>
      <c r="U65" s="73"/>
      <c r="V65" s="73"/>
      <c r="W65" s="73"/>
      <c r="X65" s="73"/>
      <c r="Y65" s="73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</row>
    <row r="66" spans="1:16" ht="75">
      <c r="A66" s="19"/>
      <c r="B66" s="200">
        <v>75616</v>
      </c>
      <c r="C66" s="21"/>
      <c r="D66" s="186" t="s">
        <v>132</v>
      </c>
      <c r="E66" s="218">
        <f>SUM(E67:E75)</f>
        <v>1014500</v>
      </c>
      <c r="F66" s="218">
        <f>SUM(F67:F75)</f>
        <v>553179.89</v>
      </c>
      <c r="G66" s="85">
        <f>F66/E66</f>
        <v>0.5452734253326762</v>
      </c>
      <c r="H66" s="218">
        <f>SUM(H67:H75)</f>
        <v>1014500</v>
      </c>
      <c r="I66" s="218">
        <f>SUM(I67:I75)</f>
        <v>553179.89</v>
      </c>
      <c r="J66" s="86">
        <f>I66/H66</f>
        <v>0.5452734253326762</v>
      </c>
      <c r="K66" s="232"/>
      <c r="L66" s="218"/>
      <c r="M66" s="86"/>
      <c r="N66" s="232"/>
      <c r="O66" s="218"/>
      <c r="P66" s="23"/>
    </row>
    <row r="67" spans="1:181" s="73" customFormat="1" ht="18.75">
      <c r="A67" s="19"/>
      <c r="B67" s="15"/>
      <c r="C67" s="6" t="str">
        <f>"0310"</f>
        <v>0310</v>
      </c>
      <c r="D67" s="296" t="s">
        <v>10</v>
      </c>
      <c r="E67" s="213">
        <v>535000</v>
      </c>
      <c r="F67" s="213">
        <v>316371.32</v>
      </c>
      <c r="G67" s="263">
        <f aca="true" t="shared" si="7" ref="G67:G75">F67/E67</f>
        <v>0.591348261682243</v>
      </c>
      <c r="H67" s="213">
        <v>535000</v>
      </c>
      <c r="I67" s="213">
        <v>316371.32</v>
      </c>
      <c r="J67" s="78">
        <f aca="true" t="shared" si="8" ref="J67:J75">I67/H67</f>
        <v>0.591348261682243</v>
      </c>
      <c r="K67" s="233"/>
      <c r="L67" s="214"/>
      <c r="M67" s="139"/>
      <c r="N67" s="233"/>
      <c r="O67" s="214"/>
      <c r="P67" s="173"/>
      <c r="Q67" s="53"/>
      <c r="R67" s="53"/>
      <c r="S67" s="53"/>
      <c r="T67" s="53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</row>
    <row r="68" spans="1:181" s="73" customFormat="1" ht="18.75">
      <c r="A68" s="19"/>
      <c r="B68" s="15"/>
      <c r="C68" s="6" t="str">
        <f>"0320"</f>
        <v>0320</v>
      </c>
      <c r="D68" s="296" t="s">
        <v>8</v>
      </c>
      <c r="E68" s="213">
        <v>292000</v>
      </c>
      <c r="F68" s="213">
        <v>146095.33</v>
      </c>
      <c r="G68" s="263">
        <f t="shared" si="7"/>
        <v>0.5003264726027397</v>
      </c>
      <c r="H68" s="213">
        <v>292000</v>
      </c>
      <c r="I68" s="213">
        <v>146095.33</v>
      </c>
      <c r="J68" s="78">
        <f t="shared" si="8"/>
        <v>0.5003264726027397</v>
      </c>
      <c r="K68" s="233"/>
      <c r="L68" s="214"/>
      <c r="M68" s="139"/>
      <c r="N68" s="233"/>
      <c r="O68" s="214"/>
      <c r="P68" s="173"/>
      <c r="Q68" s="53"/>
      <c r="R68" s="53"/>
      <c r="S68" s="53"/>
      <c r="T68" s="53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</row>
    <row r="69" spans="1:181" s="73" customFormat="1" ht="18.75">
      <c r="A69" s="19"/>
      <c r="B69" s="15"/>
      <c r="C69" s="6" t="str">
        <f>"0330"</f>
        <v>0330</v>
      </c>
      <c r="D69" s="296" t="s">
        <v>9</v>
      </c>
      <c r="E69" s="213">
        <v>2000</v>
      </c>
      <c r="F69" s="213">
        <v>1018.15</v>
      </c>
      <c r="G69" s="263">
        <f t="shared" si="7"/>
        <v>0.5090749999999999</v>
      </c>
      <c r="H69" s="213">
        <v>2000</v>
      </c>
      <c r="I69" s="213">
        <v>1018.15</v>
      </c>
      <c r="J69" s="78">
        <f t="shared" si="8"/>
        <v>0.5090749999999999</v>
      </c>
      <c r="K69" s="233"/>
      <c r="L69" s="214"/>
      <c r="M69" s="139"/>
      <c r="N69" s="233"/>
      <c r="O69" s="214"/>
      <c r="P69" s="173"/>
      <c r="Q69" s="53"/>
      <c r="R69" s="53"/>
      <c r="S69" s="53"/>
      <c r="T69" s="53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</row>
    <row r="70" spans="1:181" s="73" customFormat="1" ht="18.75">
      <c r="A70" s="19"/>
      <c r="B70" s="15"/>
      <c r="C70" s="6" t="str">
        <f>"0340"</f>
        <v>0340</v>
      </c>
      <c r="D70" s="296" t="s">
        <v>116</v>
      </c>
      <c r="E70" s="213">
        <v>41500</v>
      </c>
      <c r="F70" s="213">
        <v>26463.6</v>
      </c>
      <c r="G70" s="263">
        <f t="shared" si="7"/>
        <v>0.6376771084337349</v>
      </c>
      <c r="H70" s="213">
        <v>41500</v>
      </c>
      <c r="I70" s="213">
        <v>26463.6</v>
      </c>
      <c r="J70" s="78">
        <f t="shared" si="8"/>
        <v>0.6376771084337349</v>
      </c>
      <c r="K70" s="233"/>
      <c r="L70" s="214"/>
      <c r="M70" s="139"/>
      <c r="N70" s="233"/>
      <c r="O70" s="214"/>
      <c r="P70" s="173"/>
      <c r="Q70" s="53"/>
      <c r="R70" s="53"/>
      <c r="S70" s="53"/>
      <c r="T70" s="53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</row>
    <row r="71" spans="1:181" s="73" customFormat="1" ht="18.75">
      <c r="A71" s="19"/>
      <c r="B71" s="15"/>
      <c r="C71" s="6" t="str">
        <f>"0360"</f>
        <v>0360</v>
      </c>
      <c r="D71" s="296" t="s">
        <v>27</v>
      </c>
      <c r="E71" s="213">
        <v>10000</v>
      </c>
      <c r="F71" s="213">
        <v>13191</v>
      </c>
      <c r="G71" s="263">
        <f t="shared" si="7"/>
        <v>1.3191</v>
      </c>
      <c r="H71" s="213">
        <v>10000</v>
      </c>
      <c r="I71" s="213">
        <v>13191</v>
      </c>
      <c r="J71" s="78">
        <f t="shared" si="8"/>
        <v>1.3191</v>
      </c>
      <c r="K71" s="233"/>
      <c r="L71" s="214"/>
      <c r="M71" s="139"/>
      <c r="N71" s="233"/>
      <c r="O71" s="214"/>
      <c r="P71" s="173"/>
      <c r="Q71" s="53"/>
      <c r="R71" s="53"/>
      <c r="S71" s="53"/>
      <c r="T71" s="53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</row>
    <row r="72" spans="1:181" s="73" customFormat="1" ht="18.75">
      <c r="A72" s="19"/>
      <c r="B72" s="15"/>
      <c r="C72" s="6" t="str">
        <f>"0430"</f>
        <v>0430</v>
      </c>
      <c r="D72" s="296" t="s">
        <v>28</v>
      </c>
      <c r="E72" s="213">
        <v>1000</v>
      </c>
      <c r="F72" s="213">
        <v>1288</v>
      </c>
      <c r="G72" s="263">
        <f t="shared" si="7"/>
        <v>1.288</v>
      </c>
      <c r="H72" s="213">
        <v>1000</v>
      </c>
      <c r="I72" s="213">
        <v>1288</v>
      </c>
      <c r="J72" s="78">
        <f t="shared" si="8"/>
        <v>1.288</v>
      </c>
      <c r="K72" s="233"/>
      <c r="L72" s="214"/>
      <c r="M72" s="139"/>
      <c r="N72" s="233"/>
      <c r="O72" s="214"/>
      <c r="P72" s="173"/>
      <c r="Q72" s="53"/>
      <c r="R72" s="53"/>
      <c r="S72" s="53"/>
      <c r="T72" s="53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</row>
    <row r="73" spans="1:181" s="73" customFormat="1" ht="18.75">
      <c r="A73" s="19"/>
      <c r="B73" s="15"/>
      <c r="C73" s="6" t="str">
        <f>"0500"</f>
        <v>0500</v>
      </c>
      <c r="D73" s="296" t="s">
        <v>26</v>
      </c>
      <c r="E73" s="213">
        <v>118000</v>
      </c>
      <c r="F73" s="213">
        <v>43934</v>
      </c>
      <c r="G73" s="263">
        <f t="shared" si="7"/>
        <v>0.3723220338983051</v>
      </c>
      <c r="H73" s="213">
        <v>118000</v>
      </c>
      <c r="I73" s="213">
        <v>43934</v>
      </c>
      <c r="J73" s="78">
        <f t="shared" si="8"/>
        <v>0.3723220338983051</v>
      </c>
      <c r="K73" s="233"/>
      <c r="L73" s="214"/>
      <c r="M73" s="139"/>
      <c r="N73" s="233"/>
      <c r="O73" s="214"/>
      <c r="P73" s="173"/>
      <c r="Q73" s="53"/>
      <c r="R73" s="53"/>
      <c r="S73" s="53"/>
      <c r="T73" s="53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</row>
    <row r="74" spans="1:181" s="73" customFormat="1" ht="18.75">
      <c r="A74" s="19"/>
      <c r="B74" s="15"/>
      <c r="C74" s="272" t="s">
        <v>167</v>
      </c>
      <c r="D74" s="294" t="s">
        <v>236</v>
      </c>
      <c r="E74" s="213">
        <v>0</v>
      </c>
      <c r="F74" s="213">
        <v>2019.2</v>
      </c>
      <c r="G74" s="263" t="s">
        <v>166</v>
      </c>
      <c r="H74" s="213">
        <v>0</v>
      </c>
      <c r="I74" s="213">
        <v>2019.2</v>
      </c>
      <c r="J74" s="78" t="s">
        <v>166</v>
      </c>
      <c r="K74" s="233"/>
      <c r="L74" s="214"/>
      <c r="M74" s="139"/>
      <c r="N74" s="233"/>
      <c r="O74" s="214"/>
      <c r="P74" s="173"/>
      <c r="Q74" s="53"/>
      <c r="R74" s="53"/>
      <c r="S74" s="53"/>
      <c r="T74" s="53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</row>
    <row r="75" spans="1:181" s="73" customFormat="1" ht="37.5">
      <c r="A75" s="19"/>
      <c r="B75" s="15"/>
      <c r="C75" s="198" t="str">
        <f>"0910"</f>
        <v>0910</v>
      </c>
      <c r="D75" s="295" t="s">
        <v>114</v>
      </c>
      <c r="E75" s="213">
        <v>15000</v>
      </c>
      <c r="F75" s="213">
        <v>2799.29</v>
      </c>
      <c r="G75" s="263">
        <f t="shared" si="7"/>
        <v>0.18661933333333333</v>
      </c>
      <c r="H75" s="213">
        <v>15000</v>
      </c>
      <c r="I75" s="213">
        <v>2799.29</v>
      </c>
      <c r="J75" s="78">
        <f t="shared" si="8"/>
        <v>0.18661933333333333</v>
      </c>
      <c r="K75" s="233"/>
      <c r="L75" s="214"/>
      <c r="M75" s="139"/>
      <c r="N75" s="233"/>
      <c r="O75" s="214"/>
      <c r="P75" s="173"/>
      <c r="Q75" s="53"/>
      <c r="R75" s="53"/>
      <c r="S75" s="53"/>
      <c r="T75" s="53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</row>
    <row r="76" spans="1:181" s="53" customFormat="1" ht="37.5">
      <c r="A76" s="19"/>
      <c r="B76" s="200">
        <v>75618</v>
      </c>
      <c r="C76" s="21"/>
      <c r="D76" s="186" t="s">
        <v>117</v>
      </c>
      <c r="E76" s="218">
        <f>SUM(E77:E83)</f>
        <v>130000</v>
      </c>
      <c r="F76" s="218">
        <f>SUM(F77:F83)</f>
        <v>134325.28000000003</v>
      </c>
      <c r="G76" s="85">
        <f aca="true" t="shared" si="9" ref="G76:G84">F76/E76</f>
        <v>1.033271384615385</v>
      </c>
      <c r="H76" s="218">
        <f>SUM(H77:H83)</f>
        <v>130000</v>
      </c>
      <c r="I76" s="218">
        <f>SUM(I77:I83)</f>
        <v>134325.28000000003</v>
      </c>
      <c r="J76" s="86">
        <f aca="true" t="shared" si="10" ref="J76:J84">I76/H76</f>
        <v>1.033271384615385</v>
      </c>
      <c r="K76" s="232"/>
      <c r="L76" s="232"/>
      <c r="M76" s="46"/>
      <c r="N76" s="232"/>
      <c r="O76" s="232"/>
      <c r="P76" s="27"/>
      <c r="U76" s="73"/>
      <c r="V76" s="73"/>
      <c r="W76" s="73"/>
      <c r="X76" s="73"/>
      <c r="Y76" s="73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</row>
    <row r="77" spans="1:25" ht="18.75">
      <c r="A77" s="19"/>
      <c r="B77" s="15"/>
      <c r="C77" s="6" t="str">
        <f>"0410"</f>
        <v>0410</v>
      </c>
      <c r="D77" s="296" t="s">
        <v>11</v>
      </c>
      <c r="E77" s="213">
        <v>20000</v>
      </c>
      <c r="F77" s="213">
        <v>9415</v>
      </c>
      <c r="G77" s="263">
        <f t="shared" si="9"/>
        <v>0.47075</v>
      </c>
      <c r="H77" s="213">
        <v>20000</v>
      </c>
      <c r="I77" s="213">
        <v>9415</v>
      </c>
      <c r="J77" s="78">
        <f t="shared" si="10"/>
        <v>0.47075</v>
      </c>
      <c r="K77" s="233"/>
      <c r="L77" s="213"/>
      <c r="M77" s="78"/>
      <c r="N77" s="233"/>
      <c r="O77" s="213"/>
      <c r="P77" s="10"/>
      <c r="T77" s="53"/>
      <c r="U77" s="40"/>
      <c r="V77" s="40"/>
      <c r="W77" s="40"/>
      <c r="X77" s="40"/>
      <c r="Y77" s="40"/>
    </row>
    <row r="78" spans="1:25" ht="18.75">
      <c r="A78" s="19"/>
      <c r="B78" s="15"/>
      <c r="C78" s="6" t="str">
        <f>"0460"</f>
        <v>0460</v>
      </c>
      <c r="D78" s="296" t="s">
        <v>31</v>
      </c>
      <c r="E78" s="213">
        <v>15000</v>
      </c>
      <c r="F78" s="213">
        <v>27951.93</v>
      </c>
      <c r="G78" s="263">
        <f t="shared" si="9"/>
        <v>1.863462</v>
      </c>
      <c r="H78" s="213">
        <v>15000</v>
      </c>
      <c r="I78" s="213">
        <v>27951.93</v>
      </c>
      <c r="J78" s="78">
        <f t="shared" si="10"/>
        <v>1.863462</v>
      </c>
      <c r="K78" s="233"/>
      <c r="L78" s="213"/>
      <c r="M78" s="78"/>
      <c r="N78" s="233"/>
      <c r="O78" s="213"/>
      <c r="P78" s="10"/>
      <c r="Y78" s="40"/>
    </row>
    <row r="79" spans="1:25" ht="37.5">
      <c r="A79" s="19"/>
      <c r="B79" s="15"/>
      <c r="C79" s="198" t="str">
        <f>"0480"</f>
        <v>0480</v>
      </c>
      <c r="D79" s="295" t="s">
        <v>146</v>
      </c>
      <c r="E79" s="213">
        <v>80000</v>
      </c>
      <c r="F79" s="213">
        <v>70691.8</v>
      </c>
      <c r="G79" s="263">
        <f t="shared" si="9"/>
        <v>0.8836475</v>
      </c>
      <c r="H79" s="213">
        <v>80000</v>
      </c>
      <c r="I79" s="213">
        <v>70691.8</v>
      </c>
      <c r="J79" s="78">
        <f t="shared" si="10"/>
        <v>0.8836475</v>
      </c>
      <c r="K79" s="233"/>
      <c r="L79" s="213"/>
      <c r="M79" s="78"/>
      <c r="N79" s="233"/>
      <c r="O79" s="213"/>
      <c r="P79" s="10"/>
      <c r="T79" s="53"/>
      <c r="Y79" s="40"/>
    </row>
    <row r="80" spans="1:25" ht="37.5">
      <c r="A80" s="19"/>
      <c r="B80" s="15"/>
      <c r="C80" s="285" t="s">
        <v>171</v>
      </c>
      <c r="D80" s="294" t="s">
        <v>172</v>
      </c>
      <c r="E80" s="213">
        <v>3000</v>
      </c>
      <c r="F80" s="213">
        <v>994.64</v>
      </c>
      <c r="G80" s="263">
        <f>F80/E80</f>
        <v>0.33154666666666666</v>
      </c>
      <c r="H80" s="213">
        <v>3000</v>
      </c>
      <c r="I80" s="213">
        <v>994.64</v>
      </c>
      <c r="J80" s="78">
        <f>I80/H80</f>
        <v>0.33154666666666666</v>
      </c>
      <c r="K80" s="233"/>
      <c r="L80" s="213"/>
      <c r="M80" s="78"/>
      <c r="N80" s="233"/>
      <c r="O80" s="213"/>
      <c r="P80" s="10"/>
      <c r="T80" s="53"/>
      <c r="Y80" s="40"/>
    </row>
    <row r="81" spans="1:25" ht="18.75">
      <c r="A81" s="19"/>
      <c r="B81" s="15"/>
      <c r="C81" s="285" t="s">
        <v>173</v>
      </c>
      <c r="D81" s="294" t="s">
        <v>174</v>
      </c>
      <c r="E81" s="213">
        <v>12000</v>
      </c>
      <c r="F81" s="213">
        <v>0</v>
      </c>
      <c r="G81" s="263">
        <f>F81/E81</f>
        <v>0</v>
      </c>
      <c r="H81" s="213">
        <v>12000</v>
      </c>
      <c r="I81" s="213">
        <v>0</v>
      </c>
      <c r="J81" s="78">
        <f>I81/H81</f>
        <v>0</v>
      </c>
      <c r="K81" s="233"/>
      <c r="L81" s="213"/>
      <c r="M81" s="78"/>
      <c r="N81" s="233"/>
      <c r="O81" s="213"/>
      <c r="P81" s="10"/>
      <c r="T81" s="53"/>
      <c r="U81" s="73"/>
      <c r="V81" s="73"/>
      <c r="W81" s="73"/>
      <c r="X81" s="73"/>
      <c r="Y81" s="40"/>
    </row>
    <row r="82" spans="1:25" ht="18.75">
      <c r="A82" s="19"/>
      <c r="B82" s="15"/>
      <c r="C82" s="285" t="s">
        <v>167</v>
      </c>
      <c r="D82" s="294" t="s">
        <v>20</v>
      </c>
      <c r="E82" s="213">
        <v>0</v>
      </c>
      <c r="F82" s="213">
        <v>24719.15</v>
      </c>
      <c r="G82" s="263" t="s">
        <v>166</v>
      </c>
      <c r="H82" s="213">
        <v>0</v>
      </c>
      <c r="I82" s="213">
        <v>24719.15</v>
      </c>
      <c r="J82" s="78" t="s">
        <v>166</v>
      </c>
      <c r="K82" s="233"/>
      <c r="L82" s="213"/>
      <c r="M82" s="78"/>
      <c r="N82" s="233"/>
      <c r="O82" s="213"/>
      <c r="P82" s="10"/>
      <c r="T82" s="53"/>
      <c r="U82" s="73"/>
      <c r="V82" s="73"/>
      <c r="W82" s="73"/>
      <c r="X82" s="73"/>
      <c r="Y82" s="40"/>
    </row>
    <row r="83" spans="1:25" ht="18.75">
      <c r="A83" s="19"/>
      <c r="B83" s="15"/>
      <c r="C83" s="6" t="str">
        <f>"0920"</f>
        <v>0920</v>
      </c>
      <c r="D83" s="296" t="s">
        <v>23</v>
      </c>
      <c r="E83" s="213">
        <v>0</v>
      </c>
      <c r="F83" s="213">
        <v>552.76</v>
      </c>
      <c r="G83" s="263" t="s">
        <v>166</v>
      </c>
      <c r="H83" s="213">
        <v>0</v>
      </c>
      <c r="I83" s="213">
        <v>552.76</v>
      </c>
      <c r="J83" s="78" t="s">
        <v>166</v>
      </c>
      <c r="K83" s="233"/>
      <c r="L83" s="213"/>
      <c r="M83" s="78"/>
      <c r="N83" s="233"/>
      <c r="O83" s="213"/>
      <c r="P83" s="10"/>
      <c r="T83" s="53"/>
      <c r="U83" s="73"/>
      <c r="V83" s="73"/>
      <c r="W83" s="73"/>
      <c r="X83" s="73"/>
      <c r="Y83" s="40"/>
    </row>
    <row r="84" spans="1:25" ht="37.5">
      <c r="A84" s="19"/>
      <c r="B84" s="200">
        <v>75621</v>
      </c>
      <c r="C84" s="21"/>
      <c r="D84" s="186" t="s">
        <v>118</v>
      </c>
      <c r="E84" s="218">
        <f>SUM(E85:E86)</f>
        <v>1770730</v>
      </c>
      <c r="F84" s="218">
        <f>SUM(F85:F86)</f>
        <v>732402.99</v>
      </c>
      <c r="G84" s="85">
        <f t="shared" si="9"/>
        <v>0.4136164124400671</v>
      </c>
      <c r="H84" s="218">
        <f>SUM(H85:H86)</f>
        <v>1770730</v>
      </c>
      <c r="I84" s="218">
        <f>SUM(I85:I86)</f>
        <v>732402.99</v>
      </c>
      <c r="J84" s="86">
        <f t="shared" si="10"/>
        <v>0.4136164124400671</v>
      </c>
      <c r="K84" s="232"/>
      <c r="L84" s="218"/>
      <c r="M84" s="95"/>
      <c r="N84" s="232"/>
      <c r="O84" s="218"/>
      <c r="P84" s="22"/>
      <c r="U84" s="40"/>
      <c r="V84" s="40"/>
      <c r="W84" s="40"/>
      <c r="X84" s="40"/>
      <c r="Y84" s="40"/>
    </row>
    <row r="85" spans="1:25" ht="18.75">
      <c r="A85" s="19"/>
      <c r="B85" s="15"/>
      <c r="C85" s="6" t="str">
        <f>"0010"</f>
        <v>0010</v>
      </c>
      <c r="D85" s="296" t="s">
        <v>141</v>
      </c>
      <c r="E85" s="213">
        <v>1750730</v>
      </c>
      <c r="F85" s="213">
        <v>706061</v>
      </c>
      <c r="G85" s="263">
        <f aca="true" t="shared" si="11" ref="G85:G93">F85/E85</f>
        <v>0.4032951968607381</v>
      </c>
      <c r="H85" s="213">
        <v>1750730</v>
      </c>
      <c r="I85" s="213">
        <v>706061</v>
      </c>
      <c r="J85" s="78">
        <f>I85/H85</f>
        <v>0.4032951968607381</v>
      </c>
      <c r="K85" s="233"/>
      <c r="L85" s="213"/>
      <c r="M85" s="96"/>
      <c r="N85" s="233"/>
      <c r="O85" s="213"/>
      <c r="P85" s="9"/>
      <c r="U85" s="40"/>
      <c r="V85" s="40"/>
      <c r="W85" s="40"/>
      <c r="X85" s="40"/>
      <c r="Y85" s="40"/>
    </row>
    <row r="86" spans="1:25" ht="18.75">
      <c r="A86" s="19"/>
      <c r="B86" s="383"/>
      <c r="C86" s="436" t="str">
        <f>"0020"</f>
        <v>0020</v>
      </c>
      <c r="D86" s="433" t="s">
        <v>142</v>
      </c>
      <c r="E86" s="386">
        <v>20000</v>
      </c>
      <c r="F86" s="386">
        <v>26341.99</v>
      </c>
      <c r="G86" s="264">
        <f t="shared" si="11"/>
        <v>1.3170995</v>
      </c>
      <c r="H86" s="386">
        <v>20000</v>
      </c>
      <c r="I86" s="386">
        <v>26341.99</v>
      </c>
      <c r="J86" s="388">
        <f>I86/H86</f>
        <v>1.3170995</v>
      </c>
      <c r="K86" s="389"/>
      <c r="L86" s="386"/>
      <c r="M86" s="437"/>
      <c r="N86" s="389"/>
      <c r="O86" s="386"/>
      <c r="P86" s="438"/>
      <c r="U86" s="73"/>
      <c r="V86" s="73"/>
      <c r="W86" s="73"/>
      <c r="X86" s="73"/>
      <c r="Y86" s="40"/>
    </row>
    <row r="87" spans="1:25" ht="37.5">
      <c r="A87" s="19"/>
      <c r="B87" s="199">
        <v>75647</v>
      </c>
      <c r="C87" s="6"/>
      <c r="D87" s="435" t="s">
        <v>127</v>
      </c>
      <c r="E87" s="211">
        <f>E88</f>
        <v>0</v>
      </c>
      <c r="F87" s="211">
        <f>F88</f>
        <v>45</v>
      </c>
      <c r="G87" s="263" t="s">
        <v>166</v>
      </c>
      <c r="H87" s="211">
        <f>H88</f>
        <v>0</v>
      </c>
      <c r="I87" s="211">
        <f>I88</f>
        <v>45</v>
      </c>
      <c r="J87" s="78" t="s">
        <v>166</v>
      </c>
      <c r="K87" s="233"/>
      <c r="L87" s="213"/>
      <c r="M87" s="96"/>
      <c r="N87" s="233"/>
      <c r="O87" s="213"/>
      <c r="P87" s="9"/>
      <c r="U87" s="73"/>
      <c r="V87" s="73"/>
      <c r="W87" s="73"/>
      <c r="X87" s="73"/>
      <c r="Y87" s="40"/>
    </row>
    <row r="88" spans="1:25" ht="19.5" thickBot="1">
      <c r="A88" s="19"/>
      <c r="B88" s="15"/>
      <c r="C88" s="285" t="s">
        <v>167</v>
      </c>
      <c r="D88" s="294" t="s">
        <v>20</v>
      </c>
      <c r="E88" s="213">
        <v>0</v>
      </c>
      <c r="F88" s="213">
        <v>45</v>
      </c>
      <c r="G88" s="263" t="s">
        <v>166</v>
      </c>
      <c r="H88" s="213">
        <v>0</v>
      </c>
      <c r="I88" s="213">
        <v>45</v>
      </c>
      <c r="J88" s="78" t="s">
        <v>166</v>
      </c>
      <c r="K88" s="233"/>
      <c r="L88" s="213"/>
      <c r="M88" s="96"/>
      <c r="N88" s="233"/>
      <c r="O88" s="213"/>
      <c r="P88" s="9"/>
      <c r="U88" s="73"/>
      <c r="V88" s="73"/>
      <c r="W88" s="73"/>
      <c r="X88" s="73"/>
      <c r="Y88" s="40"/>
    </row>
    <row r="89" spans="1:25" ht="19.5" thickBot="1">
      <c r="A89" s="12">
        <v>758</v>
      </c>
      <c r="B89" s="12"/>
      <c r="C89" s="13"/>
      <c r="D89" s="12" t="s">
        <v>13</v>
      </c>
      <c r="E89" s="215">
        <f>E90+E92+E94+E96</f>
        <v>6381284</v>
      </c>
      <c r="F89" s="215">
        <f>F90+F92+F94+F96</f>
        <v>3705174.98</v>
      </c>
      <c r="G89" s="261">
        <f t="shared" si="11"/>
        <v>0.5806315750873962</v>
      </c>
      <c r="H89" s="215">
        <f>H90+H92+H94+H96</f>
        <v>6381284</v>
      </c>
      <c r="I89" s="215">
        <f>I90+I92+I94+I96</f>
        <v>3705174.98</v>
      </c>
      <c r="J89" s="79">
        <f>I89/H89</f>
        <v>0.5806315750873962</v>
      </c>
      <c r="K89" s="237"/>
      <c r="L89" s="215"/>
      <c r="M89" s="87"/>
      <c r="N89" s="237"/>
      <c r="O89" s="215"/>
      <c r="P89" s="88"/>
      <c r="U89" s="40"/>
      <c r="V89" s="40"/>
      <c r="W89" s="40"/>
      <c r="X89" s="40"/>
      <c r="Y89" s="40"/>
    </row>
    <row r="90" spans="1:25" ht="37.5">
      <c r="A90" s="15"/>
      <c r="B90" s="199">
        <v>75801</v>
      </c>
      <c r="C90" s="6"/>
      <c r="D90" s="44" t="s">
        <v>119</v>
      </c>
      <c r="E90" s="211">
        <f>E91</f>
        <v>4223990</v>
      </c>
      <c r="F90" s="211">
        <f>F91</f>
        <v>2599376</v>
      </c>
      <c r="G90" s="262">
        <f t="shared" si="11"/>
        <v>0.6153840326326531</v>
      </c>
      <c r="H90" s="211">
        <f>H91</f>
        <v>4223990</v>
      </c>
      <c r="I90" s="211">
        <f>I91</f>
        <v>2599376</v>
      </c>
      <c r="J90" s="77">
        <f>I91/H91</f>
        <v>0.6153840326326531</v>
      </c>
      <c r="K90" s="253"/>
      <c r="L90" s="211"/>
      <c r="M90" s="78"/>
      <c r="N90" s="253"/>
      <c r="O90" s="211"/>
      <c r="P90" s="10"/>
      <c r="T90" s="53"/>
      <c r="U90" s="40"/>
      <c r="V90" s="40"/>
      <c r="W90" s="40"/>
      <c r="X90" s="40"/>
      <c r="Y90" s="40"/>
    </row>
    <row r="91" spans="1:181" s="76" customFormat="1" ht="19.5" thickBot="1">
      <c r="A91" s="15"/>
      <c r="B91" s="15"/>
      <c r="C91" s="6">
        <v>2920</v>
      </c>
      <c r="D91" s="296" t="s">
        <v>120</v>
      </c>
      <c r="E91" s="213">
        <v>4223990</v>
      </c>
      <c r="F91" s="213">
        <v>2599376</v>
      </c>
      <c r="G91" s="263">
        <f t="shared" si="11"/>
        <v>0.6153840326326531</v>
      </c>
      <c r="H91" s="213">
        <v>4223990</v>
      </c>
      <c r="I91" s="213">
        <v>2599376</v>
      </c>
      <c r="J91" s="78">
        <f aca="true" t="shared" si="12" ref="J91:J104">I91/H91</f>
        <v>0.6153840326326531</v>
      </c>
      <c r="K91" s="253"/>
      <c r="L91" s="211"/>
      <c r="M91" s="78"/>
      <c r="N91" s="253"/>
      <c r="O91" s="211"/>
      <c r="P91" s="10"/>
      <c r="Q91" s="36"/>
      <c r="R91" s="36"/>
      <c r="S91" s="36"/>
      <c r="T91" s="36"/>
      <c r="U91" s="40"/>
      <c r="V91" s="40"/>
      <c r="W91" s="40"/>
      <c r="X91" s="40"/>
      <c r="Y91" s="40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</row>
    <row r="92" spans="1:24" ht="18.75">
      <c r="A92" s="19"/>
      <c r="B92" s="22">
        <v>75807</v>
      </c>
      <c r="C92" s="21"/>
      <c r="D92" s="22" t="s">
        <v>175</v>
      </c>
      <c r="E92" s="218">
        <f>E93</f>
        <v>2128812</v>
      </c>
      <c r="F92" s="218">
        <f>F93</f>
        <v>1064406</v>
      </c>
      <c r="G92" s="85">
        <f t="shared" si="11"/>
        <v>0.5</v>
      </c>
      <c r="H92" s="218">
        <f>H93</f>
        <v>2128812</v>
      </c>
      <c r="I92" s="218">
        <f>I93</f>
        <v>1064406</v>
      </c>
      <c r="J92" s="86">
        <f t="shared" si="12"/>
        <v>0.5</v>
      </c>
      <c r="K92" s="232"/>
      <c r="L92" s="218"/>
      <c r="M92" s="86"/>
      <c r="N92" s="232"/>
      <c r="O92" s="218"/>
      <c r="P92" s="23"/>
      <c r="U92" s="40"/>
      <c r="V92" s="40"/>
      <c r="W92" s="40"/>
      <c r="X92" s="40"/>
    </row>
    <row r="93" spans="1:24" ht="18.75">
      <c r="A93" s="19"/>
      <c r="B93" s="15"/>
      <c r="C93" s="6">
        <v>2920</v>
      </c>
      <c r="D93" s="296" t="s">
        <v>120</v>
      </c>
      <c r="E93" s="213">
        <v>2128812</v>
      </c>
      <c r="F93" s="213">
        <v>1064406</v>
      </c>
      <c r="G93" s="263">
        <f t="shared" si="11"/>
        <v>0.5</v>
      </c>
      <c r="H93" s="213">
        <v>2128812</v>
      </c>
      <c r="I93" s="213">
        <v>1064406</v>
      </c>
      <c r="J93" s="78">
        <f t="shared" si="12"/>
        <v>0.5</v>
      </c>
      <c r="K93" s="253"/>
      <c r="L93" s="211"/>
      <c r="M93" s="77"/>
      <c r="N93" s="253"/>
      <c r="O93" s="211"/>
      <c r="P93" s="26"/>
      <c r="U93" s="40"/>
      <c r="V93" s="40"/>
      <c r="W93" s="40"/>
      <c r="X93" s="40"/>
    </row>
    <row r="94" spans="1:16" ht="18.75">
      <c r="A94" s="19"/>
      <c r="B94" s="22">
        <v>75814</v>
      </c>
      <c r="C94" s="21"/>
      <c r="D94" s="22" t="s">
        <v>35</v>
      </c>
      <c r="E94" s="218">
        <f>E95</f>
        <v>0</v>
      </c>
      <c r="F94" s="218">
        <f>F95</f>
        <v>27148.98</v>
      </c>
      <c r="G94" s="266" t="s">
        <v>166</v>
      </c>
      <c r="H94" s="218">
        <f>H95</f>
        <v>0</v>
      </c>
      <c r="I94" s="218">
        <f>I95</f>
        <v>27148.98</v>
      </c>
      <c r="J94" s="86" t="s">
        <v>166</v>
      </c>
      <c r="K94" s="232"/>
      <c r="L94" s="218"/>
      <c r="M94" s="86"/>
      <c r="N94" s="232"/>
      <c r="O94" s="218"/>
      <c r="P94" s="23"/>
    </row>
    <row r="95" spans="1:16" ht="18.75">
      <c r="A95" s="19"/>
      <c r="B95" s="9"/>
      <c r="C95" s="6" t="str">
        <f>"0920"</f>
        <v>0920</v>
      </c>
      <c r="D95" s="296" t="s">
        <v>23</v>
      </c>
      <c r="E95" s="213">
        <v>0</v>
      </c>
      <c r="F95" s="213">
        <v>27148.98</v>
      </c>
      <c r="G95" s="263" t="s">
        <v>166</v>
      </c>
      <c r="H95" s="213">
        <v>0</v>
      </c>
      <c r="I95" s="213">
        <v>27148.98</v>
      </c>
      <c r="J95" s="78" t="s">
        <v>166</v>
      </c>
      <c r="K95" s="233"/>
      <c r="L95" s="213"/>
      <c r="M95" s="78"/>
      <c r="N95" s="233"/>
      <c r="O95" s="213"/>
      <c r="P95" s="10"/>
    </row>
    <row r="96" spans="1:16" ht="18.75">
      <c r="A96" s="19"/>
      <c r="B96" s="22">
        <v>75831</v>
      </c>
      <c r="C96" s="21"/>
      <c r="D96" s="22" t="s">
        <v>103</v>
      </c>
      <c r="E96" s="218">
        <f>SUM(E97:E97)</f>
        <v>28482</v>
      </c>
      <c r="F96" s="218">
        <f>SUM(F97:F97)</f>
        <v>14244</v>
      </c>
      <c r="G96" s="85">
        <f>F96/E96</f>
        <v>0.5001053296819044</v>
      </c>
      <c r="H96" s="218">
        <f>SUM(H97:H97)</f>
        <v>28482</v>
      </c>
      <c r="I96" s="218">
        <f>SUM(I97:I97)</f>
        <v>14244</v>
      </c>
      <c r="J96" s="86">
        <f t="shared" si="12"/>
        <v>0.5001053296819044</v>
      </c>
      <c r="K96" s="232"/>
      <c r="L96" s="218"/>
      <c r="M96" s="86"/>
      <c r="N96" s="232"/>
      <c r="O96" s="218"/>
      <c r="P96" s="23"/>
    </row>
    <row r="97" spans="1:16" ht="19.5" thickBot="1">
      <c r="A97" s="19"/>
      <c r="B97" s="9"/>
      <c r="C97" s="6">
        <v>2920</v>
      </c>
      <c r="D97" s="296" t="s">
        <v>120</v>
      </c>
      <c r="E97" s="213">
        <v>28482</v>
      </c>
      <c r="F97" s="213">
        <v>14244</v>
      </c>
      <c r="G97" s="390">
        <f>F97/E97</f>
        <v>0.5001053296819044</v>
      </c>
      <c r="H97" s="213">
        <v>28482</v>
      </c>
      <c r="I97" s="213">
        <v>14244</v>
      </c>
      <c r="J97" s="78">
        <f t="shared" si="12"/>
        <v>0.5001053296819044</v>
      </c>
      <c r="K97" s="233"/>
      <c r="L97" s="213"/>
      <c r="M97" s="78"/>
      <c r="N97" s="233"/>
      <c r="O97" s="213"/>
      <c r="P97" s="10"/>
    </row>
    <row r="98" spans="1:16" s="53" customFormat="1" ht="19.5" thickBot="1">
      <c r="A98" s="439">
        <v>801</v>
      </c>
      <c r="B98" s="440"/>
      <c r="C98" s="13"/>
      <c r="D98" s="12" t="s">
        <v>36</v>
      </c>
      <c r="E98" s="215">
        <f>E99</f>
        <v>0</v>
      </c>
      <c r="F98" s="215">
        <f>F99</f>
        <v>4820.48</v>
      </c>
      <c r="G98" s="441" t="s">
        <v>166</v>
      </c>
      <c r="H98" s="215">
        <f>H99</f>
        <v>0</v>
      </c>
      <c r="I98" s="215">
        <f>I99</f>
        <v>4820.48</v>
      </c>
      <c r="J98" s="445" t="s">
        <v>166</v>
      </c>
      <c r="K98" s="300"/>
      <c r="L98" s="251"/>
      <c r="M98" s="87"/>
      <c r="N98" s="300"/>
      <c r="O98" s="252"/>
      <c r="P98" s="88"/>
    </row>
    <row r="99" spans="1:16" ht="18.75">
      <c r="A99" s="19"/>
      <c r="B99" s="9">
        <v>80101</v>
      </c>
      <c r="C99" s="6"/>
      <c r="D99" s="15" t="s">
        <v>37</v>
      </c>
      <c r="E99" s="211">
        <f>E100+E101</f>
        <v>0</v>
      </c>
      <c r="F99" s="211">
        <f>F100+F101</f>
        <v>4820.48</v>
      </c>
      <c r="G99" s="390" t="s">
        <v>166</v>
      </c>
      <c r="H99" s="211">
        <f>H100+H101</f>
        <v>0</v>
      </c>
      <c r="I99" s="211">
        <f>I100+I101</f>
        <v>4820.48</v>
      </c>
      <c r="J99" s="431" t="s">
        <v>166</v>
      </c>
      <c r="K99" s="233"/>
      <c r="L99" s="214"/>
      <c r="M99" s="78"/>
      <c r="N99" s="233"/>
      <c r="O99" s="213"/>
      <c r="P99" s="10"/>
    </row>
    <row r="100" spans="1:16" ht="18.75">
      <c r="A100" s="19"/>
      <c r="B100" s="9"/>
      <c r="C100" s="272" t="s">
        <v>168</v>
      </c>
      <c r="D100" s="296" t="s">
        <v>6</v>
      </c>
      <c r="E100" s="213">
        <v>0</v>
      </c>
      <c r="F100" s="213">
        <v>4419.48</v>
      </c>
      <c r="G100" s="390" t="s">
        <v>166</v>
      </c>
      <c r="H100" s="213">
        <v>0</v>
      </c>
      <c r="I100" s="213">
        <v>4419.48</v>
      </c>
      <c r="J100" s="431" t="s">
        <v>166</v>
      </c>
      <c r="K100" s="233"/>
      <c r="L100" s="214"/>
      <c r="M100" s="78"/>
      <c r="N100" s="233"/>
      <c r="O100" s="213"/>
      <c r="P100" s="10"/>
    </row>
    <row r="101" spans="1:16" ht="19.5" thickBot="1">
      <c r="A101" s="19"/>
      <c r="B101" s="9"/>
      <c r="C101" s="285" t="s">
        <v>150</v>
      </c>
      <c r="D101" s="295" t="s">
        <v>39</v>
      </c>
      <c r="E101" s="213">
        <v>0</v>
      </c>
      <c r="F101" s="213">
        <v>401</v>
      </c>
      <c r="G101" s="390" t="s">
        <v>166</v>
      </c>
      <c r="H101" s="213">
        <v>0</v>
      </c>
      <c r="I101" s="213">
        <v>401</v>
      </c>
      <c r="J101" s="431" t="s">
        <v>166</v>
      </c>
      <c r="K101" s="233"/>
      <c r="L101" s="214"/>
      <c r="M101" s="78"/>
      <c r="N101" s="233"/>
      <c r="O101" s="213"/>
      <c r="P101" s="10"/>
    </row>
    <row r="102" spans="1:181" s="73" customFormat="1" ht="19.5" thickBot="1">
      <c r="A102" s="12">
        <v>852</v>
      </c>
      <c r="B102" s="12"/>
      <c r="C102" s="13"/>
      <c r="D102" s="12" t="s">
        <v>93</v>
      </c>
      <c r="E102" s="215">
        <f>E103+E105+E108+E111+E113+E115+E120</f>
        <v>2231781</v>
      </c>
      <c r="F102" s="215">
        <f>F103+F105+F108+F111+F113+F115+F120</f>
        <v>1155987.33</v>
      </c>
      <c r="G102" s="261">
        <f aca="true" t="shared" si="13" ref="G102:G128">F102/E102</f>
        <v>0.5179662923915922</v>
      </c>
      <c r="H102" s="215">
        <f>H103+H105+H108+H111+H113+H115+H120</f>
        <v>484781</v>
      </c>
      <c r="I102" s="215">
        <f>I103+I105+I108+I111+I113+I115+I120</f>
        <v>282489.33</v>
      </c>
      <c r="J102" s="79">
        <f t="shared" si="12"/>
        <v>0.5827153498177527</v>
      </c>
      <c r="K102" s="237">
        <f>K103+K105+K108+K111+K113+K115+K120</f>
        <v>1747000</v>
      </c>
      <c r="L102" s="237">
        <f>L103+L105+L108+L111+L113+L115+L120</f>
        <v>873498</v>
      </c>
      <c r="M102" s="79">
        <f aca="true" t="shared" si="14" ref="M102:M109">L102/K102</f>
        <v>0.4999988551803091</v>
      </c>
      <c r="N102" s="237"/>
      <c r="O102" s="252"/>
      <c r="P102" s="88"/>
      <c r="Q102" s="53"/>
      <c r="R102" s="53"/>
      <c r="S102" s="5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</row>
    <row r="103" spans="1:181" s="40" customFormat="1" ht="18.75">
      <c r="A103" s="15"/>
      <c r="B103" s="15">
        <v>85202</v>
      </c>
      <c r="C103" s="6"/>
      <c r="D103" s="15" t="s">
        <v>240</v>
      </c>
      <c r="E103" s="211">
        <f>E104</f>
        <v>6471</v>
      </c>
      <c r="F103" s="211">
        <f>F104</f>
        <v>10029.28</v>
      </c>
      <c r="G103" s="318">
        <f>F103/E103</f>
        <v>1.5498810075722456</v>
      </c>
      <c r="H103" s="211">
        <f>H104</f>
        <v>6471</v>
      </c>
      <c r="I103" s="211">
        <f>I104</f>
        <v>10029.28</v>
      </c>
      <c r="J103" s="353">
        <f t="shared" si="12"/>
        <v>1.5498810075722456</v>
      </c>
      <c r="K103" s="253"/>
      <c r="L103" s="253"/>
      <c r="M103" s="77"/>
      <c r="N103" s="253"/>
      <c r="O103" s="213"/>
      <c r="P103" s="10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</row>
    <row r="104" spans="1:181" s="40" customFormat="1" ht="18.75">
      <c r="A104" s="15"/>
      <c r="B104" s="383"/>
      <c r="C104" s="442" t="s">
        <v>150</v>
      </c>
      <c r="D104" s="385" t="s">
        <v>39</v>
      </c>
      <c r="E104" s="386">
        <v>6471</v>
      </c>
      <c r="F104" s="386">
        <v>10029.28</v>
      </c>
      <c r="G104" s="264">
        <f>F104/E104</f>
        <v>1.5498810075722456</v>
      </c>
      <c r="H104" s="386">
        <v>6471</v>
      </c>
      <c r="I104" s="386">
        <v>10029.28</v>
      </c>
      <c r="J104" s="388">
        <f t="shared" si="12"/>
        <v>1.5498810075722456</v>
      </c>
      <c r="K104" s="443"/>
      <c r="L104" s="443"/>
      <c r="M104" s="444"/>
      <c r="N104" s="443"/>
      <c r="O104" s="386"/>
      <c r="P104" s="191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</row>
    <row r="105" spans="1:181" s="73" customFormat="1" ht="56.25">
      <c r="A105" s="25"/>
      <c r="B105" s="199">
        <v>85212</v>
      </c>
      <c r="C105" s="198"/>
      <c r="D105" s="44" t="s">
        <v>228</v>
      </c>
      <c r="E105" s="211">
        <f>SUM(E106:E107)</f>
        <v>1740000</v>
      </c>
      <c r="F105" s="211">
        <f>SUM(F106:F107)</f>
        <v>874737.97</v>
      </c>
      <c r="G105" s="262">
        <f t="shared" si="13"/>
        <v>0.5027229712643678</v>
      </c>
      <c r="H105" s="211">
        <f>H107</f>
        <v>0</v>
      </c>
      <c r="I105" s="211">
        <f>I107</f>
        <v>4737.97</v>
      </c>
      <c r="J105" s="78"/>
      <c r="K105" s="233">
        <f>SUM(K106:K107)</f>
        <v>1740000</v>
      </c>
      <c r="L105" s="233">
        <f>SUM(L106:L107)</f>
        <v>870000</v>
      </c>
      <c r="M105" s="187">
        <f t="shared" si="14"/>
        <v>0.5</v>
      </c>
      <c r="N105" s="233"/>
      <c r="O105" s="213"/>
      <c r="P105" s="10"/>
      <c r="Q105" s="53"/>
      <c r="R105" s="53"/>
      <c r="S105" s="5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</row>
    <row r="106" spans="1:181" s="73" customFormat="1" ht="81.75" customHeight="1">
      <c r="A106" s="25"/>
      <c r="B106" s="199"/>
      <c r="C106" s="198">
        <v>2010</v>
      </c>
      <c r="D106" s="295" t="s">
        <v>156</v>
      </c>
      <c r="E106" s="213">
        <v>1740000</v>
      </c>
      <c r="F106" s="213">
        <v>870000</v>
      </c>
      <c r="G106" s="263">
        <f t="shared" si="13"/>
        <v>0.5</v>
      </c>
      <c r="H106" s="214"/>
      <c r="I106" s="213"/>
      <c r="J106" s="78"/>
      <c r="K106" s="233">
        <v>1740000</v>
      </c>
      <c r="L106" s="213">
        <v>870000</v>
      </c>
      <c r="M106" s="187">
        <f t="shared" si="14"/>
        <v>0.5</v>
      </c>
      <c r="N106" s="214"/>
      <c r="O106" s="213"/>
      <c r="P106" s="10"/>
      <c r="Q106" s="53"/>
      <c r="R106" s="53"/>
      <c r="S106" s="5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</row>
    <row r="107" spans="1:181" s="73" customFormat="1" ht="60" customHeight="1">
      <c r="A107" s="25"/>
      <c r="B107" s="384"/>
      <c r="C107" s="391">
        <v>2360</v>
      </c>
      <c r="D107" s="385" t="s">
        <v>176</v>
      </c>
      <c r="E107" s="386">
        <v>0</v>
      </c>
      <c r="F107" s="386">
        <v>4737.97</v>
      </c>
      <c r="G107" s="264" t="s">
        <v>166</v>
      </c>
      <c r="H107" s="386">
        <v>0</v>
      </c>
      <c r="I107" s="386">
        <v>4737.97</v>
      </c>
      <c r="J107" s="388"/>
      <c r="K107" s="389" t="s">
        <v>166</v>
      </c>
      <c r="L107" s="387" t="s">
        <v>166</v>
      </c>
      <c r="M107" s="388"/>
      <c r="N107" s="389"/>
      <c r="O107" s="386"/>
      <c r="P107" s="191"/>
      <c r="Q107" s="53"/>
      <c r="R107" s="53"/>
      <c r="S107" s="5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</row>
    <row r="108" spans="1:181" s="40" customFormat="1" ht="100.5" customHeight="1">
      <c r="A108" s="25"/>
      <c r="B108" s="199">
        <v>85213</v>
      </c>
      <c r="C108" s="198"/>
      <c r="D108" s="44" t="s">
        <v>177</v>
      </c>
      <c r="E108" s="211">
        <f>E109+E110</f>
        <v>20000</v>
      </c>
      <c r="F108" s="211">
        <f>F109+F110</f>
        <v>9985</v>
      </c>
      <c r="G108" s="263">
        <f t="shared" si="13"/>
        <v>0.49925</v>
      </c>
      <c r="H108" s="212">
        <f>H109+H110</f>
        <v>13000</v>
      </c>
      <c r="I108" s="212">
        <f>I109+I110</f>
        <v>6487</v>
      </c>
      <c r="J108" s="77"/>
      <c r="K108" s="253">
        <f>K109</f>
        <v>7000</v>
      </c>
      <c r="L108" s="253">
        <f>L109</f>
        <v>3498</v>
      </c>
      <c r="M108" s="187">
        <f t="shared" si="14"/>
        <v>0.4997142857142857</v>
      </c>
      <c r="N108" s="253"/>
      <c r="O108" s="211"/>
      <c r="P108" s="2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</row>
    <row r="109" spans="1:181" s="40" customFormat="1" ht="73.5" customHeight="1">
      <c r="A109" s="25"/>
      <c r="B109" s="199"/>
      <c r="C109" s="198">
        <v>2010</v>
      </c>
      <c r="D109" s="295" t="s">
        <v>154</v>
      </c>
      <c r="E109" s="213">
        <v>7000</v>
      </c>
      <c r="F109" s="213">
        <v>3498</v>
      </c>
      <c r="G109" s="263">
        <f t="shared" si="13"/>
        <v>0.4997142857142857</v>
      </c>
      <c r="H109" s="214"/>
      <c r="I109" s="213"/>
      <c r="J109" s="78"/>
      <c r="K109" s="233">
        <v>7000</v>
      </c>
      <c r="L109" s="213">
        <v>3498</v>
      </c>
      <c r="M109" s="78">
        <f t="shared" si="14"/>
        <v>0.4997142857142857</v>
      </c>
      <c r="N109" s="233"/>
      <c r="O109" s="213"/>
      <c r="P109" s="10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</row>
    <row r="110" spans="1:181" s="40" customFormat="1" ht="62.25" customHeight="1">
      <c r="A110" s="174"/>
      <c r="B110" s="384"/>
      <c r="C110" s="391">
        <v>2030</v>
      </c>
      <c r="D110" s="385" t="s">
        <v>153</v>
      </c>
      <c r="E110" s="386">
        <v>13000</v>
      </c>
      <c r="F110" s="386">
        <v>6487</v>
      </c>
      <c r="G110" s="264">
        <f t="shared" si="13"/>
        <v>0.499</v>
      </c>
      <c r="H110" s="387">
        <v>13000</v>
      </c>
      <c r="I110" s="386">
        <v>6487</v>
      </c>
      <c r="J110" s="388"/>
      <c r="K110" s="389"/>
      <c r="L110" s="387"/>
      <c r="M110" s="388"/>
      <c r="N110" s="389"/>
      <c r="O110" s="386"/>
      <c r="P110" s="191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</row>
    <row r="111" spans="1:181" s="40" customFormat="1" ht="37.5">
      <c r="A111" s="308"/>
      <c r="B111" s="199">
        <v>85214</v>
      </c>
      <c r="C111" s="198"/>
      <c r="D111" s="44" t="s">
        <v>121</v>
      </c>
      <c r="E111" s="211">
        <f>SUM(E112:E112)</f>
        <v>145000</v>
      </c>
      <c r="F111" s="211">
        <f>SUM(F112:F112)</f>
        <v>72498</v>
      </c>
      <c r="G111" s="263">
        <f t="shared" si="13"/>
        <v>0.4999862068965517</v>
      </c>
      <c r="H111" s="211">
        <f>SUM(H112:H112)</f>
        <v>145000</v>
      </c>
      <c r="I111" s="211">
        <f>SUM(I112:I112)</f>
        <v>72498</v>
      </c>
      <c r="J111" s="94">
        <f>I111/H111</f>
        <v>0.4999862068965517</v>
      </c>
      <c r="K111" s="233"/>
      <c r="L111" s="233"/>
      <c r="M111" s="187"/>
      <c r="N111" s="233"/>
      <c r="O111" s="213"/>
      <c r="P111" s="10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</row>
    <row r="112" spans="1:181" s="40" customFormat="1" ht="56.25">
      <c r="A112" s="25"/>
      <c r="B112" s="384"/>
      <c r="C112" s="391">
        <v>2030</v>
      </c>
      <c r="D112" s="385" t="s">
        <v>153</v>
      </c>
      <c r="E112" s="386">
        <v>145000</v>
      </c>
      <c r="F112" s="386">
        <v>72498</v>
      </c>
      <c r="G112" s="388">
        <f t="shared" si="13"/>
        <v>0.4999862068965517</v>
      </c>
      <c r="H112" s="504">
        <v>145000</v>
      </c>
      <c r="I112" s="386">
        <v>72498</v>
      </c>
      <c r="J112" s="388">
        <f aca="true" t="shared" si="15" ref="J112:J126">I112/H112</f>
        <v>0.4999862068965517</v>
      </c>
      <c r="K112" s="389"/>
      <c r="L112" s="386"/>
      <c r="M112" s="388"/>
      <c r="N112" s="389"/>
      <c r="O112" s="386"/>
      <c r="P112" s="191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</row>
    <row r="113" spans="1:181" s="40" customFormat="1" ht="18.75">
      <c r="A113" s="25"/>
      <c r="B113" s="199">
        <v>85216</v>
      </c>
      <c r="C113" s="198"/>
      <c r="D113" s="292" t="s">
        <v>241</v>
      </c>
      <c r="E113" s="211">
        <f>E114</f>
        <v>132000</v>
      </c>
      <c r="F113" s="211">
        <f>F114</f>
        <v>71972</v>
      </c>
      <c r="G113" s="77">
        <f>F113/E113</f>
        <v>0.5452424242424242</v>
      </c>
      <c r="H113" s="505">
        <f>H114</f>
        <v>132000</v>
      </c>
      <c r="I113" s="211">
        <f>I114</f>
        <v>71972</v>
      </c>
      <c r="J113" s="77">
        <f>I113/H113</f>
        <v>0.5452424242424242</v>
      </c>
      <c r="K113" s="246"/>
      <c r="L113" s="213"/>
      <c r="M113" s="78"/>
      <c r="N113" s="233"/>
      <c r="O113" s="213"/>
      <c r="P113" s="10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</row>
    <row r="114" spans="1:181" s="40" customFormat="1" ht="56.25">
      <c r="A114" s="25"/>
      <c r="B114" s="199"/>
      <c r="C114" s="198">
        <v>2030</v>
      </c>
      <c r="D114" s="295" t="s">
        <v>153</v>
      </c>
      <c r="E114" s="213">
        <v>132000</v>
      </c>
      <c r="F114" s="213">
        <v>71972</v>
      </c>
      <c r="G114" s="263">
        <f>F114/E114</f>
        <v>0.5452424242424242</v>
      </c>
      <c r="H114" s="213">
        <v>132000</v>
      </c>
      <c r="I114" s="213">
        <v>71972</v>
      </c>
      <c r="J114" s="78">
        <f>I114/H114</f>
        <v>0.5452424242424242</v>
      </c>
      <c r="K114" s="233"/>
      <c r="L114" s="213"/>
      <c r="M114" s="78"/>
      <c r="N114" s="233"/>
      <c r="O114" s="213"/>
      <c r="P114" s="10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</row>
    <row r="115" spans="1:181" s="73" customFormat="1" ht="18.75">
      <c r="A115" s="25"/>
      <c r="B115" s="22">
        <v>85219</v>
      </c>
      <c r="C115" s="21"/>
      <c r="D115" s="22" t="s">
        <v>29</v>
      </c>
      <c r="E115" s="218">
        <f>SUM(E117:E119)</f>
        <v>112500</v>
      </c>
      <c r="F115" s="218">
        <f>SUM(F116:F119)</f>
        <v>60082.08</v>
      </c>
      <c r="G115" s="85">
        <f t="shared" si="13"/>
        <v>0.5340629333333333</v>
      </c>
      <c r="H115" s="218">
        <f>SUM(H116:H119)</f>
        <v>112500</v>
      </c>
      <c r="I115" s="218">
        <f>SUM(I116:I119)</f>
        <v>60082.08</v>
      </c>
      <c r="J115" s="86">
        <f t="shared" si="15"/>
        <v>0.5340629333333333</v>
      </c>
      <c r="K115" s="232"/>
      <c r="L115" s="218"/>
      <c r="M115" s="86"/>
      <c r="N115" s="232"/>
      <c r="O115" s="218"/>
      <c r="P115" s="23"/>
      <c r="Q115" s="53"/>
      <c r="R115" s="53"/>
      <c r="S115" s="5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</row>
    <row r="116" spans="1:181" s="73" customFormat="1" ht="18.75">
      <c r="A116" s="25"/>
      <c r="B116" s="15"/>
      <c r="C116" s="285" t="s">
        <v>167</v>
      </c>
      <c r="D116" s="294" t="s">
        <v>20</v>
      </c>
      <c r="E116" s="213">
        <v>0</v>
      </c>
      <c r="F116" s="213">
        <v>26.4</v>
      </c>
      <c r="G116" s="262" t="s">
        <v>166</v>
      </c>
      <c r="H116" s="213">
        <v>0</v>
      </c>
      <c r="I116" s="213">
        <v>26.4</v>
      </c>
      <c r="J116" s="77" t="s">
        <v>166</v>
      </c>
      <c r="K116" s="253"/>
      <c r="L116" s="211"/>
      <c r="M116" s="77"/>
      <c r="N116" s="253"/>
      <c r="O116" s="211"/>
      <c r="P116" s="26"/>
      <c r="Q116" s="53"/>
      <c r="R116" s="53"/>
      <c r="S116" s="5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</row>
    <row r="117" spans="1:181" s="73" customFormat="1" ht="18.75">
      <c r="A117" s="25"/>
      <c r="B117" s="15"/>
      <c r="C117" s="6" t="str">
        <f>"0830"</f>
        <v>0830</v>
      </c>
      <c r="D117" s="296" t="s">
        <v>6</v>
      </c>
      <c r="E117" s="213">
        <v>0</v>
      </c>
      <c r="F117" s="213">
        <v>1726.4</v>
      </c>
      <c r="G117" s="262" t="s">
        <v>166</v>
      </c>
      <c r="H117" s="213">
        <v>0</v>
      </c>
      <c r="I117" s="213">
        <v>1726.4</v>
      </c>
      <c r="J117" s="77" t="s">
        <v>166</v>
      </c>
      <c r="K117" s="233"/>
      <c r="L117" s="213"/>
      <c r="M117" s="78"/>
      <c r="N117" s="233"/>
      <c r="O117" s="213"/>
      <c r="P117" s="10"/>
      <c r="Q117" s="53"/>
      <c r="R117" s="53"/>
      <c r="S117" s="5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</row>
    <row r="118" spans="1:181" s="73" customFormat="1" ht="18.75">
      <c r="A118" s="25"/>
      <c r="B118" s="15"/>
      <c r="C118" s="285" t="s">
        <v>150</v>
      </c>
      <c r="D118" s="295" t="s">
        <v>39</v>
      </c>
      <c r="E118" s="213">
        <v>0</v>
      </c>
      <c r="F118" s="213">
        <v>31.28</v>
      </c>
      <c r="G118" s="262" t="s">
        <v>166</v>
      </c>
      <c r="H118" s="213">
        <v>0</v>
      </c>
      <c r="I118" s="213">
        <v>31.28</v>
      </c>
      <c r="J118" s="77" t="s">
        <v>166</v>
      </c>
      <c r="K118" s="233"/>
      <c r="L118" s="213"/>
      <c r="M118" s="78"/>
      <c r="N118" s="233"/>
      <c r="O118" s="213"/>
      <c r="P118" s="10"/>
      <c r="Q118" s="53"/>
      <c r="R118" s="53"/>
      <c r="S118" s="5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</row>
    <row r="119" spans="1:181" s="40" customFormat="1" ht="56.25">
      <c r="A119" s="25"/>
      <c r="B119" s="15"/>
      <c r="C119" s="198">
        <v>2030</v>
      </c>
      <c r="D119" s="295" t="s">
        <v>153</v>
      </c>
      <c r="E119" s="213">
        <v>112500</v>
      </c>
      <c r="F119" s="213">
        <v>58298</v>
      </c>
      <c r="G119" s="263">
        <f t="shared" si="13"/>
        <v>0.5182044444444445</v>
      </c>
      <c r="H119" s="213">
        <v>112500</v>
      </c>
      <c r="I119" s="213">
        <v>58298</v>
      </c>
      <c r="J119" s="78">
        <f>I119/H119</f>
        <v>0.5182044444444445</v>
      </c>
      <c r="K119" s="389"/>
      <c r="L119" s="213"/>
      <c r="M119" s="78"/>
      <c r="N119" s="233"/>
      <c r="O119" s="213"/>
      <c r="P119" s="10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</row>
    <row r="120" spans="1:181" s="40" customFormat="1" ht="18.75">
      <c r="A120" s="25"/>
      <c r="B120" s="22">
        <v>85295</v>
      </c>
      <c r="C120" s="202"/>
      <c r="D120" s="22" t="s">
        <v>4</v>
      </c>
      <c r="E120" s="218">
        <f>SUM(E121:E121)</f>
        <v>75810</v>
      </c>
      <c r="F120" s="218">
        <f>SUM(F121:F121)</f>
        <v>56683</v>
      </c>
      <c r="G120" s="85">
        <f t="shared" si="13"/>
        <v>0.7476981928505474</v>
      </c>
      <c r="H120" s="218">
        <f>SUM(H121:H121)</f>
        <v>75810</v>
      </c>
      <c r="I120" s="218">
        <f>SUM(I121:I121)</f>
        <v>56683</v>
      </c>
      <c r="J120" s="101">
        <f t="shared" si="15"/>
        <v>0.7476981928505474</v>
      </c>
      <c r="K120" s="216"/>
      <c r="L120" s="218"/>
      <c r="M120" s="86"/>
      <c r="N120" s="232"/>
      <c r="O120" s="218"/>
      <c r="P120" s="23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</row>
    <row r="121" spans="1:181" s="40" customFormat="1" ht="57" thickBot="1">
      <c r="A121" s="25"/>
      <c r="B121" s="15"/>
      <c r="C121" s="198">
        <v>2030</v>
      </c>
      <c r="D121" s="295" t="s">
        <v>153</v>
      </c>
      <c r="E121" s="213">
        <v>75810</v>
      </c>
      <c r="F121" s="213">
        <v>56683</v>
      </c>
      <c r="G121" s="263">
        <f t="shared" si="13"/>
        <v>0.7476981928505474</v>
      </c>
      <c r="H121" s="213">
        <v>75810</v>
      </c>
      <c r="I121" s="213">
        <v>56683</v>
      </c>
      <c r="J121" s="78">
        <f t="shared" si="15"/>
        <v>0.7476981928505474</v>
      </c>
      <c r="K121" s="233"/>
      <c r="L121" s="213"/>
      <c r="M121" s="78"/>
      <c r="N121" s="233"/>
      <c r="O121" s="213"/>
      <c r="P121" s="10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</row>
    <row r="122" spans="1:181" s="73" customFormat="1" ht="19.5" thickBot="1">
      <c r="A122" s="297">
        <v>853</v>
      </c>
      <c r="B122" s="12"/>
      <c r="C122" s="298"/>
      <c r="D122" s="195" t="s">
        <v>180</v>
      </c>
      <c r="E122" s="215">
        <f>E123</f>
        <v>185263.2</v>
      </c>
      <c r="F122" s="215">
        <f>F123</f>
        <v>71286.28</v>
      </c>
      <c r="G122" s="446">
        <f t="shared" si="13"/>
        <v>0.38478381027640673</v>
      </c>
      <c r="H122" s="221">
        <f>H123</f>
        <v>185263.2</v>
      </c>
      <c r="I122" s="221">
        <f>I123</f>
        <v>71286.28</v>
      </c>
      <c r="J122" s="98">
        <f t="shared" si="15"/>
        <v>0.38478381027640673</v>
      </c>
      <c r="K122" s="300"/>
      <c r="L122" s="252"/>
      <c r="M122" s="87"/>
      <c r="N122" s="300"/>
      <c r="O122" s="252"/>
      <c r="P122" s="299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</row>
    <row r="123" spans="1:181" s="40" customFormat="1" ht="18.75">
      <c r="A123" s="25"/>
      <c r="B123" s="15">
        <v>85395</v>
      </c>
      <c r="C123" s="198"/>
      <c r="D123" s="44" t="s">
        <v>4</v>
      </c>
      <c r="E123" s="211">
        <f>E124+E125</f>
        <v>185263.2</v>
      </c>
      <c r="F123" s="211">
        <f>F124+F125</f>
        <v>71286.28</v>
      </c>
      <c r="G123" s="262">
        <f t="shared" si="13"/>
        <v>0.38478381027640673</v>
      </c>
      <c r="H123" s="212">
        <f>H124+H125</f>
        <v>185263.2</v>
      </c>
      <c r="I123" s="212">
        <f>I124+I125</f>
        <v>71286.28</v>
      </c>
      <c r="J123" s="78">
        <f t="shared" si="15"/>
        <v>0.38478381027640673</v>
      </c>
      <c r="K123" s="233"/>
      <c r="L123" s="213"/>
      <c r="M123" s="78"/>
      <c r="N123" s="233"/>
      <c r="O123" s="213"/>
      <c r="P123" s="10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</row>
    <row r="124" spans="1:181" s="40" customFormat="1" ht="37.5">
      <c r="A124" s="25"/>
      <c r="B124" s="15"/>
      <c r="C124" s="198">
        <v>2008</v>
      </c>
      <c r="D124" s="294" t="s">
        <v>178</v>
      </c>
      <c r="E124" s="213">
        <v>170254.45</v>
      </c>
      <c r="F124" s="213">
        <v>64771.11</v>
      </c>
      <c r="G124" s="263">
        <f t="shared" si="13"/>
        <v>0.38043710458082003</v>
      </c>
      <c r="H124" s="213">
        <v>170254.45</v>
      </c>
      <c r="I124" s="213">
        <v>64771.11</v>
      </c>
      <c r="J124" s="187">
        <f>I124/H124</f>
        <v>0.38043710458082003</v>
      </c>
      <c r="K124" s="214"/>
      <c r="L124" s="213"/>
      <c r="M124" s="78"/>
      <c r="N124" s="233"/>
      <c r="O124" s="213"/>
      <c r="P124" s="10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</row>
    <row r="125" spans="1:181" s="40" customFormat="1" ht="38.25" thickBot="1">
      <c r="A125" s="25"/>
      <c r="B125" s="15"/>
      <c r="C125" s="198">
        <v>2009</v>
      </c>
      <c r="D125" s="294" t="s">
        <v>178</v>
      </c>
      <c r="E125" s="213">
        <v>15008.75</v>
      </c>
      <c r="F125" s="213">
        <v>6515.17</v>
      </c>
      <c r="G125" s="263">
        <f t="shared" si="13"/>
        <v>0.43409144665611726</v>
      </c>
      <c r="H125" s="213">
        <v>15008.75</v>
      </c>
      <c r="I125" s="213">
        <v>6515.17</v>
      </c>
      <c r="J125" s="188">
        <f>I125/H125</f>
        <v>0.43409144665611726</v>
      </c>
      <c r="K125" s="214"/>
      <c r="L125" s="213"/>
      <c r="M125" s="78"/>
      <c r="N125" s="233"/>
      <c r="O125" s="213"/>
      <c r="P125" s="10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</row>
    <row r="126" spans="1:16" ht="18.75" customHeight="1" thickBot="1">
      <c r="A126" s="12">
        <v>854</v>
      </c>
      <c r="B126" s="12"/>
      <c r="C126" s="13"/>
      <c r="D126" s="12" t="s">
        <v>40</v>
      </c>
      <c r="E126" s="215">
        <f>E127</f>
        <v>80740</v>
      </c>
      <c r="F126" s="215">
        <f>F127</f>
        <v>80740</v>
      </c>
      <c r="G126" s="261">
        <f t="shared" si="13"/>
        <v>1</v>
      </c>
      <c r="H126" s="215">
        <f>H127</f>
        <v>80740</v>
      </c>
      <c r="I126" s="215">
        <f>I127</f>
        <v>80740</v>
      </c>
      <c r="J126" s="79">
        <f t="shared" si="15"/>
        <v>1</v>
      </c>
      <c r="K126" s="237"/>
      <c r="L126" s="215"/>
      <c r="M126" s="79"/>
      <c r="N126" s="237" t="str">
        <f>N127</f>
        <v> </v>
      </c>
      <c r="O126" s="215" t="str">
        <f>O127</f>
        <v> </v>
      </c>
      <c r="P126" s="14" t="s">
        <v>166</v>
      </c>
    </row>
    <row r="127" spans="1:16" ht="18.75" customHeight="1">
      <c r="A127" s="25"/>
      <c r="B127" s="15">
        <v>85415</v>
      </c>
      <c r="C127" s="6"/>
      <c r="D127" s="15" t="s">
        <v>80</v>
      </c>
      <c r="E127" s="211">
        <f>SUM(E128:E128)</f>
        <v>80740</v>
      </c>
      <c r="F127" s="211">
        <f>SUM(F128:F128)</f>
        <v>80740</v>
      </c>
      <c r="G127" s="262">
        <f t="shared" si="13"/>
        <v>1</v>
      </c>
      <c r="H127" s="211">
        <f>SUM(H128:H128)</f>
        <v>80740</v>
      </c>
      <c r="I127" s="211">
        <f>SUM(I128:I128)</f>
        <v>80740</v>
      </c>
      <c r="J127" s="77">
        <f>I128/H128</f>
        <v>1</v>
      </c>
      <c r="K127" s="253"/>
      <c r="L127" s="211"/>
      <c r="M127" s="77"/>
      <c r="N127" s="253" t="s">
        <v>166</v>
      </c>
      <c r="O127" s="211" t="s">
        <v>166</v>
      </c>
      <c r="P127" s="26" t="s">
        <v>166</v>
      </c>
    </row>
    <row r="128" spans="1:16" ht="62.25" customHeight="1" thickBot="1">
      <c r="A128" s="25"/>
      <c r="B128" s="15"/>
      <c r="C128" s="198">
        <v>2030</v>
      </c>
      <c r="D128" s="295" t="s">
        <v>153</v>
      </c>
      <c r="E128" s="213">
        <v>80740</v>
      </c>
      <c r="F128" s="213">
        <v>80740</v>
      </c>
      <c r="G128" s="263">
        <f t="shared" si="13"/>
        <v>1</v>
      </c>
      <c r="H128" s="214">
        <v>80740</v>
      </c>
      <c r="I128" s="213">
        <v>80740</v>
      </c>
      <c r="J128" s="78">
        <f>I128/H128</f>
        <v>1</v>
      </c>
      <c r="K128" s="233"/>
      <c r="L128" s="213"/>
      <c r="M128" s="78"/>
      <c r="N128" s="233"/>
      <c r="O128" s="213"/>
      <c r="P128" s="10"/>
    </row>
    <row r="129" spans="1:16" ht="18.75" customHeight="1" thickBot="1">
      <c r="A129" s="12">
        <v>900</v>
      </c>
      <c r="B129" s="12"/>
      <c r="C129" s="13"/>
      <c r="D129" s="12" t="s">
        <v>105</v>
      </c>
      <c r="E129" s="215">
        <f>E130+E132+E134+E137+E141</f>
        <v>2220138</v>
      </c>
      <c r="F129" s="215">
        <f>F130+F132+F134+F137+F141</f>
        <v>158165.37</v>
      </c>
      <c r="G129" s="261">
        <f aca="true" t="shared" si="16" ref="G129:G138">F129/E129</f>
        <v>0.07124123365304319</v>
      </c>
      <c r="H129" s="215">
        <f>H130+H132+H134+H137+H141</f>
        <v>2040138</v>
      </c>
      <c r="I129" s="215">
        <f>I130+I132+I134+I137+I141</f>
        <v>76372.95999999999</v>
      </c>
      <c r="J129" s="98" t="s">
        <v>166</v>
      </c>
      <c r="K129" s="237"/>
      <c r="L129" s="215"/>
      <c r="M129" s="79"/>
      <c r="N129" s="237">
        <f>N132</f>
        <v>180000</v>
      </c>
      <c r="O129" s="215">
        <f>O132</f>
        <v>81792.41</v>
      </c>
      <c r="P129" s="14">
        <f>O129/N129</f>
        <v>0.4544022777777778</v>
      </c>
    </row>
    <row r="130" spans="1:16" ht="18.75" customHeight="1">
      <c r="A130" s="15"/>
      <c r="B130" s="15">
        <v>90001</v>
      </c>
      <c r="C130" s="6"/>
      <c r="D130" s="15" t="s">
        <v>179</v>
      </c>
      <c r="E130" s="211">
        <f>E131</f>
        <v>1845763</v>
      </c>
      <c r="F130" s="211">
        <f>F131</f>
        <v>0</v>
      </c>
      <c r="G130" s="262">
        <f t="shared" si="16"/>
        <v>0</v>
      </c>
      <c r="H130" s="212">
        <f>H131</f>
        <v>1845763</v>
      </c>
      <c r="I130" s="212">
        <f>I131</f>
        <v>0</v>
      </c>
      <c r="J130" s="187">
        <f>I130/H130</f>
        <v>0</v>
      </c>
      <c r="K130" s="212"/>
      <c r="L130" s="211"/>
      <c r="M130" s="77"/>
      <c r="N130" s="253"/>
      <c r="O130" s="211"/>
      <c r="P130" s="26"/>
    </row>
    <row r="131" spans="1:16" ht="101.25" customHeight="1">
      <c r="A131" s="15"/>
      <c r="B131" s="15"/>
      <c r="C131" s="6">
        <v>6207</v>
      </c>
      <c r="D131" s="294" t="s">
        <v>235</v>
      </c>
      <c r="E131" s="447">
        <v>1845763</v>
      </c>
      <c r="F131" s="447">
        <v>0</v>
      </c>
      <c r="G131" s="390">
        <f t="shared" si="16"/>
        <v>0</v>
      </c>
      <c r="H131" s="448">
        <v>1845763</v>
      </c>
      <c r="I131" s="447">
        <v>0</v>
      </c>
      <c r="J131" s="410">
        <f>I131/H131</f>
        <v>0</v>
      </c>
      <c r="K131" s="212"/>
      <c r="L131" s="211"/>
      <c r="M131" s="77"/>
      <c r="N131" s="253"/>
      <c r="O131" s="211"/>
      <c r="P131" s="26"/>
    </row>
    <row r="132" spans="1:16" ht="18.75" customHeight="1">
      <c r="A132" s="25"/>
      <c r="B132" s="22">
        <v>90013</v>
      </c>
      <c r="C132" s="202"/>
      <c r="D132" s="22" t="s">
        <v>71</v>
      </c>
      <c r="E132" s="218">
        <f>SUM(E133:E133)</f>
        <v>180000</v>
      </c>
      <c r="F132" s="218">
        <f>SUM(F133:F133)</f>
        <v>81792.41</v>
      </c>
      <c r="G132" s="85">
        <f t="shared" si="16"/>
        <v>0.4544022777777778</v>
      </c>
      <c r="H132" s="216"/>
      <c r="I132" s="218"/>
      <c r="J132" s="101"/>
      <c r="K132" s="243"/>
      <c r="L132" s="255"/>
      <c r="M132" s="189"/>
      <c r="N132" s="232">
        <f>SUM(N133:N133)</f>
        <v>180000</v>
      </c>
      <c r="O132" s="218">
        <f>SUM(O133:O133)</f>
        <v>81792.41</v>
      </c>
      <c r="P132" s="23">
        <f>O132/N132</f>
        <v>0.4544022777777778</v>
      </c>
    </row>
    <row r="133" spans="1:16" ht="54.75" customHeight="1">
      <c r="A133" s="25"/>
      <c r="B133" s="383"/>
      <c r="C133" s="391">
        <v>2310</v>
      </c>
      <c r="D133" s="385" t="s">
        <v>155</v>
      </c>
      <c r="E133" s="386">
        <v>180000</v>
      </c>
      <c r="F133" s="386">
        <v>81792.41</v>
      </c>
      <c r="G133" s="264">
        <f t="shared" si="16"/>
        <v>0.4544022777777778</v>
      </c>
      <c r="H133" s="387"/>
      <c r="I133" s="386"/>
      <c r="J133" s="288"/>
      <c r="K133" s="387"/>
      <c r="L133" s="394"/>
      <c r="M133" s="395"/>
      <c r="N133" s="389">
        <v>180000</v>
      </c>
      <c r="O133" s="386">
        <v>81792.41</v>
      </c>
      <c r="P133" s="191">
        <f>O133/N133</f>
        <v>0.4544022777777778</v>
      </c>
    </row>
    <row r="134" spans="1:16" ht="24.75" customHeight="1">
      <c r="A134" s="25"/>
      <c r="B134" s="199">
        <v>90017</v>
      </c>
      <c r="C134" s="198"/>
      <c r="D134" s="292" t="s">
        <v>163</v>
      </c>
      <c r="E134" s="211">
        <f>E135+E136</f>
        <v>20570.04</v>
      </c>
      <c r="F134" s="211">
        <f>F135+F136</f>
        <v>20573.65</v>
      </c>
      <c r="G134" s="263">
        <f t="shared" si="16"/>
        <v>1.0001754979572233</v>
      </c>
      <c r="H134" s="211">
        <f>H135+H136</f>
        <v>20570.04</v>
      </c>
      <c r="I134" s="211">
        <f>I135+I136</f>
        <v>20573.65</v>
      </c>
      <c r="J134" s="78">
        <f>I134/H134</f>
        <v>1.0001754979572233</v>
      </c>
      <c r="K134" s="246"/>
      <c r="L134" s="256"/>
      <c r="M134" s="97"/>
      <c r="N134" s="233"/>
      <c r="O134" s="213"/>
      <c r="P134" s="10"/>
    </row>
    <row r="135" spans="1:16" ht="96" customHeight="1">
      <c r="A135" s="25"/>
      <c r="B135" s="15"/>
      <c r="C135" s="285" t="s">
        <v>242</v>
      </c>
      <c r="D135" s="295" t="s">
        <v>244</v>
      </c>
      <c r="E135" s="213">
        <v>0</v>
      </c>
      <c r="F135" s="213">
        <v>3977</v>
      </c>
      <c r="G135" s="263" t="s">
        <v>166</v>
      </c>
      <c r="H135" s="213">
        <v>0</v>
      </c>
      <c r="I135" s="213">
        <v>3977</v>
      </c>
      <c r="J135" s="78" t="s">
        <v>166</v>
      </c>
      <c r="K135" s="233"/>
      <c r="L135" s="256"/>
      <c r="M135" s="97"/>
      <c r="N135" s="233"/>
      <c r="O135" s="213"/>
      <c r="P135" s="10"/>
    </row>
    <row r="136" spans="1:16" ht="102" customHeight="1">
      <c r="A136" s="25"/>
      <c r="B136" s="383"/>
      <c r="C136" s="442" t="s">
        <v>243</v>
      </c>
      <c r="D136" s="385" t="s">
        <v>245</v>
      </c>
      <c r="E136" s="386">
        <v>20570.04</v>
      </c>
      <c r="F136" s="386">
        <v>16596.65</v>
      </c>
      <c r="G136" s="264">
        <f t="shared" si="16"/>
        <v>0.8068360586561816</v>
      </c>
      <c r="H136" s="386">
        <v>20570.04</v>
      </c>
      <c r="I136" s="386">
        <v>16596.65</v>
      </c>
      <c r="J136" s="388">
        <f>I136/H136</f>
        <v>0.8068360586561816</v>
      </c>
      <c r="K136" s="389"/>
      <c r="L136" s="394"/>
      <c r="M136" s="395"/>
      <c r="N136" s="389"/>
      <c r="O136" s="386"/>
      <c r="P136" s="191"/>
    </row>
    <row r="137" spans="1:16" ht="39" customHeight="1">
      <c r="A137" s="25"/>
      <c r="B137" s="199">
        <v>90019</v>
      </c>
      <c r="C137" s="285"/>
      <c r="D137" s="295" t="s">
        <v>246</v>
      </c>
      <c r="E137" s="452">
        <f>E138+E139+E140</f>
        <v>73804.95999999999</v>
      </c>
      <c r="F137" s="452">
        <f>F138+F139+F140</f>
        <v>55799.31</v>
      </c>
      <c r="G137" s="453">
        <f t="shared" si="16"/>
        <v>0.7560373991124716</v>
      </c>
      <c r="H137" s="452">
        <f>H138+H139+H140</f>
        <v>73804.95999999999</v>
      </c>
      <c r="I137" s="452">
        <f>I138+I139+I140</f>
        <v>55799.31</v>
      </c>
      <c r="J137" s="454">
        <f>I137/H137</f>
        <v>0.7560373991124716</v>
      </c>
      <c r="K137" s="233"/>
      <c r="L137" s="256"/>
      <c r="M137" s="97"/>
      <c r="N137" s="233"/>
      <c r="O137" s="213"/>
      <c r="P137" s="10"/>
    </row>
    <row r="138" spans="1:16" ht="27" customHeight="1">
      <c r="A138" s="25"/>
      <c r="B138" s="15"/>
      <c r="C138" s="449" t="s">
        <v>167</v>
      </c>
      <c r="D138" s="294" t="s">
        <v>20</v>
      </c>
      <c r="E138" s="213">
        <v>25000</v>
      </c>
      <c r="F138" s="213">
        <v>6566.36</v>
      </c>
      <c r="G138" s="263">
        <f t="shared" si="16"/>
        <v>0.2626544</v>
      </c>
      <c r="H138" s="213">
        <v>25000</v>
      </c>
      <c r="I138" s="213">
        <v>6566.36</v>
      </c>
      <c r="J138" s="78">
        <f>I138/H138</f>
        <v>0.2626544</v>
      </c>
      <c r="K138" s="233"/>
      <c r="L138" s="256"/>
      <c r="M138" s="97"/>
      <c r="N138" s="233"/>
      <c r="O138" s="213"/>
      <c r="P138" s="10"/>
    </row>
    <row r="139" spans="1:16" ht="25.5" customHeight="1">
      <c r="A139" s="25"/>
      <c r="B139" s="15"/>
      <c r="C139" s="450" t="str">
        <f>"0920"</f>
        <v>0920</v>
      </c>
      <c r="D139" s="451" t="s">
        <v>23</v>
      </c>
      <c r="E139" s="213">
        <v>0</v>
      </c>
      <c r="F139" s="213">
        <v>427.99</v>
      </c>
      <c r="G139" s="263" t="s">
        <v>166</v>
      </c>
      <c r="H139" s="213">
        <v>0</v>
      </c>
      <c r="I139" s="213">
        <v>427.99</v>
      </c>
      <c r="J139" s="78" t="s">
        <v>166</v>
      </c>
      <c r="K139" s="233"/>
      <c r="L139" s="256"/>
      <c r="M139" s="97"/>
      <c r="N139" s="233"/>
      <c r="O139" s="213"/>
      <c r="P139" s="10"/>
    </row>
    <row r="140" spans="1:16" ht="21" customHeight="1">
      <c r="A140" s="25"/>
      <c r="B140" s="15"/>
      <c r="C140" s="285" t="s">
        <v>150</v>
      </c>
      <c r="D140" s="295" t="s">
        <v>39</v>
      </c>
      <c r="E140" s="213">
        <v>48804.96</v>
      </c>
      <c r="F140" s="213">
        <v>48804.96</v>
      </c>
      <c r="G140" s="263">
        <f aca="true" t="shared" si="17" ref="G140:G145">F140/E140</f>
        <v>1</v>
      </c>
      <c r="H140" s="213">
        <v>48804.96</v>
      </c>
      <c r="I140" s="213">
        <v>48804.96</v>
      </c>
      <c r="J140" s="78">
        <f aca="true" t="shared" si="18" ref="J140:J145">I140/H140</f>
        <v>1</v>
      </c>
      <c r="K140" s="233"/>
      <c r="L140" s="256"/>
      <c r="M140" s="97"/>
      <c r="N140" s="233"/>
      <c r="O140" s="213"/>
      <c r="P140" s="10"/>
    </row>
    <row r="141" spans="1:16" ht="21" customHeight="1">
      <c r="A141" s="455"/>
      <c r="B141" s="22">
        <v>90095</v>
      </c>
      <c r="C141" s="456"/>
      <c r="D141" s="458" t="s">
        <v>4</v>
      </c>
      <c r="E141" s="218">
        <f>E142</f>
        <v>100000</v>
      </c>
      <c r="F141" s="218">
        <f>F142</f>
        <v>0</v>
      </c>
      <c r="G141" s="85">
        <f t="shared" si="17"/>
        <v>0</v>
      </c>
      <c r="H141" s="216">
        <f>H142</f>
        <v>100000</v>
      </c>
      <c r="I141" s="216">
        <f>I142</f>
        <v>0</v>
      </c>
      <c r="J141" s="86">
        <f t="shared" si="18"/>
        <v>0</v>
      </c>
      <c r="K141" s="246"/>
      <c r="L141" s="255"/>
      <c r="M141" s="189"/>
      <c r="N141" s="246"/>
      <c r="O141" s="247"/>
      <c r="P141" s="100"/>
    </row>
    <row r="142" spans="1:16" ht="101.25" customHeight="1" thickBot="1">
      <c r="A142" s="25"/>
      <c r="B142" s="15"/>
      <c r="C142" s="285" t="s">
        <v>247</v>
      </c>
      <c r="D142" s="294" t="s">
        <v>235</v>
      </c>
      <c r="E142" s="213">
        <v>100000</v>
      </c>
      <c r="F142" s="213">
        <v>0</v>
      </c>
      <c r="G142" s="263">
        <f t="shared" si="17"/>
        <v>0</v>
      </c>
      <c r="H142" s="214">
        <v>100000</v>
      </c>
      <c r="I142" s="213">
        <v>0</v>
      </c>
      <c r="J142" s="78">
        <f t="shared" si="18"/>
        <v>0</v>
      </c>
      <c r="K142" s="233"/>
      <c r="L142" s="256"/>
      <c r="M142" s="97"/>
      <c r="N142" s="233"/>
      <c r="O142" s="213"/>
      <c r="P142" s="10"/>
    </row>
    <row r="143" spans="1:16" s="464" customFormat="1" ht="24" customHeight="1" thickBot="1">
      <c r="A143" s="196">
        <v>921</v>
      </c>
      <c r="B143" s="196"/>
      <c r="C143" s="459"/>
      <c r="D143" s="426" t="s">
        <v>79</v>
      </c>
      <c r="E143" s="465">
        <f>E144</f>
        <v>325000</v>
      </c>
      <c r="F143" s="465">
        <f>F144</f>
        <v>0</v>
      </c>
      <c r="G143" s="460">
        <f t="shared" si="17"/>
        <v>0</v>
      </c>
      <c r="H143" s="466">
        <f>H144</f>
        <v>325000</v>
      </c>
      <c r="I143" s="466">
        <f>I144</f>
        <v>0</v>
      </c>
      <c r="J143" s="461">
        <f t="shared" si="18"/>
        <v>0</v>
      </c>
      <c r="K143" s="463"/>
      <c r="L143" s="457"/>
      <c r="M143" s="462"/>
      <c r="N143" s="463"/>
      <c r="O143" s="457"/>
      <c r="P143" s="360"/>
    </row>
    <row r="144" spans="1:16" ht="27" customHeight="1">
      <c r="A144" s="25"/>
      <c r="B144" s="199">
        <v>92109</v>
      </c>
      <c r="C144" s="392"/>
      <c r="D144" s="44" t="s">
        <v>248</v>
      </c>
      <c r="E144" s="211">
        <f>E145</f>
        <v>325000</v>
      </c>
      <c r="F144" s="211">
        <f>F145</f>
        <v>0</v>
      </c>
      <c r="G144" s="263">
        <f t="shared" si="17"/>
        <v>0</v>
      </c>
      <c r="H144" s="212">
        <f>H145</f>
        <v>325000</v>
      </c>
      <c r="I144" s="211">
        <f>I145</f>
        <v>0</v>
      </c>
      <c r="J144" s="78">
        <f t="shared" si="18"/>
        <v>0</v>
      </c>
      <c r="K144" s="253"/>
      <c r="L144" s="240"/>
      <c r="M144" s="393"/>
      <c r="N144" s="253"/>
      <c r="O144" s="211"/>
      <c r="P144" s="26"/>
    </row>
    <row r="145" spans="1:16" ht="107.25" customHeight="1" thickBot="1">
      <c r="A145" s="25"/>
      <c r="B145" s="25"/>
      <c r="C145" s="289" t="s">
        <v>247</v>
      </c>
      <c r="D145" s="294" t="s">
        <v>235</v>
      </c>
      <c r="E145" s="213">
        <v>325000</v>
      </c>
      <c r="F145" s="213">
        <v>0</v>
      </c>
      <c r="G145" s="263">
        <f t="shared" si="17"/>
        <v>0</v>
      </c>
      <c r="H145" s="214">
        <v>325000</v>
      </c>
      <c r="I145" s="325">
        <v>0</v>
      </c>
      <c r="J145" s="78">
        <f t="shared" si="18"/>
        <v>0</v>
      </c>
      <c r="K145" s="503"/>
      <c r="L145" s="256"/>
      <c r="M145" s="97"/>
      <c r="N145" s="233"/>
      <c r="O145" s="213"/>
      <c r="P145" s="10"/>
    </row>
    <row r="146" spans="1:16" s="17" customFormat="1" ht="27.75" customHeight="1" thickBot="1" thickTop="1">
      <c r="A146" s="32"/>
      <c r="B146" s="32"/>
      <c r="C146" s="33"/>
      <c r="D146" s="32" t="s">
        <v>14</v>
      </c>
      <c r="E146" s="249">
        <f>E4+E7+E10+E16+E19+E31+E37+E51+E56+E89+E98+E102+E122+E126+E129+E143</f>
        <v>18001867.299999997</v>
      </c>
      <c r="F146" s="249">
        <f>F4+F7+F10+F16+F19+F31+F37+F51+F56+F89+F98+F102+F122+F126+F129+F143</f>
        <v>7685997.370000001</v>
      </c>
      <c r="G146" s="267">
        <f>F146/E146</f>
        <v>0.4269555619932829</v>
      </c>
      <c r="H146" s="249">
        <f>H4+H7+H10+H16+H19+H31+H37+H51+H56+H89+H98+H102+H122+H126+H129+H143</f>
        <v>15523116.2</v>
      </c>
      <c r="I146" s="249">
        <f>I4+I7+I10+I19+I31+I37+I51+I56+I89+I98+I102+I122+I126+I129</f>
        <v>6533859.860000001</v>
      </c>
      <c r="J146" s="105">
        <f>I146/H146</f>
        <v>0.4209116118063976</v>
      </c>
      <c r="K146" s="257">
        <f>K4+K37+K51+K102</f>
        <v>1986526.1</v>
      </c>
      <c r="L146" s="257">
        <f>L4+L37+L51+L102</f>
        <v>1068845.1</v>
      </c>
      <c r="M146" s="105">
        <f>L146/K146</f>
        <v>0.5380473480816588</v>
      </c>
      <c r="N146" s="258">
        <f>N10+N31+N129</f>
        <v>492225</v>
      </c>
      <c r="O146" s="258">
        <f>O10+O31+O129</f>
        <v>83292.41</v>
      </c>
      <c r="P146" s="84">
        <f>O146/N146</f>
        <v>0.16921613083447612</v>
      </c>
    </row>
    <row r="147" spans="1:24" ht="18.75" customHeight="1" thickTop="1">
      <c r="A147" s="17"/>
      <c r="B147" s="34"/>
      <c r="C147" s="35"/>
      <c r="D147" s="17"/>
      <c r="E147" s="223"/>
      <c r="F147" s="223"/>
      <c r="G147" s="149"/>
      <c r="H147" s="223"/>
      <c r="I147" s="223"/>
      <c r="J147" s="17"/>
      <c r="K147" s="223"/>
      <c r="L147" s="223"/>
      <c r="M147" s="17"/>
      <c r="N147" s="223"/>
      <c r="O147" s="223"/>
      <c r="P147" s="17"/>
      <c r="T147" s="102"/>
      <c r="U147" s="102"/>
      <c r="V147" s="102"/>
      <c r="W147" s="102"/>
      <c r="X147" s="102"/>
    </row>
    <row r="148" spans="1:16" s="102" customFormat="1" ht="18">
      <c r="A148" s="36"/>
      <c r="B148" s="37"/>
      <c r="C148" s="38"/>
      <c r="D148" s="36"/>
      <c r="E148" s="250">
        <f>H146+K146+N146</f>
        <v>18001867.3</v>
      </c>
      <c r="F148" s="250">
        <f>I146+L146+O146</f>
        <v>7685997.370000001</v>
      </c>
      <c r="G148" s="268"/>
      <c r="H148" s="36"/>
      <c r="I148" s="36"/>
      <c r="J148" s="36"/>
      <c r="K148" s="54"/>
      <c r="L148" s="54"/>
      <c r="M148" s="36"/>
      <c r="N148" s="36"/>
      <c r="O148" s="36"/>
      <c r="P148" s="36"/>
    </row>
    <row r="149" spans="1:24" s="102" customFormat="1" ht="18">
      <c r="A149" s="36"/>
      <c r="B149" s="37"/>
      <c r="C149" s="38"/>
      <c r="D149" s="36"/>
      <c r="E149" s="250">
        <f>E146-E148</f>
        <v>0</v>
      </c>
      <c r="F149" s="250">
        <f>F146-F148</f>
        <v>0</v>
      </c>
      <c r="G149" s="268"/>
      <c r="H149" s="36"/>
      <c r="I149" s="36"/>
      <c r="J149" s="36"/>
      <c r="K149" s="36"/>
      <c r="L149" s="36"/>
      <c r="M149" s="36"/>
      <c r="N149" s="36"/>
      <c r="O149" s="36"/>
      <c r="P149" s="36"/>
      <c r="U149" s="36"/>
      <c r="V149" s="36"/>
      <c r="W149" s="36"/>
      <c r="X149" s="36"/>
    </row>
    <row r="150" spans="5:12" ht="18.75" customHeight="1">
      <c r="E150" s="54"/>
      <c r="F150" s="54"/>
      <c r="K150" s="54"/>
      <c r="L150" s="54"/>
    </row>
    <row r="151" spans="5:6" ht="18.75" customHeight="1">
      <c r="E151" s="506" t="s">
        <v>143</v>
      </c>
      <c r="F151" s="506"/>
    </row>
    <row r="152" spans="5:6" ht="18.75" customHeight="1">
      <c r="E152" s="269">
        <f>H146+N146</f>
        <v>16015341.2</v>
      </c>
      <c r="F152" s="269">
        <f>I146+O146</f>
        <v>6617152.270000001</v>
      </c>
    </row>
    <row r="153" ht="18.75" customHeight="1"/>
    <row r="154" ht="18.75" customHeight="1"/>
    <row r="155" spans="1:16" ht="18.75" customHeight="1">
      <c r="A155" s="17"/>
      <c r="B155" s="34"/>
      <c r="C155" s="35"/>
      <c r="D155" s="17"/>
      <c r="E155" s="17"/>
      <c r="F155" s="17"/>
      <c r="G155" s="149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8.75" customHeight="1">
      <c r="A156" s="17"/>
      <c r="B156" s="34"/>
      <c r="C156" s="35"/>
      <c r="D156" s="17"/>
      <c r="E156" s="17"/>
      <c r="F156" s="17"/>
      <c r="G156" s="149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8.75" customHeight="1">
      <c r="A157" s="17"/>
      <c r="B157" s="34"/>
      <c r="C157" s="35"/>
      <c r="D157" s="17"/>
      <c r="E157" s="17"/>
      <c r="F157" s="17"/>
      <c r="G157" s="149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8.75" customHeight="1">
      <c r="A158" s="17"/>
      <c r="B158" s="34"/>
      <c r="C158" s="35"/>
      <c r="D158" s="17"/>
      <c r="E158" s="17"/>
      <c r="F158" s="17"/>
      <c r="G158" s="149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8.75" customHeight="1">
      <c r="A159" s="17"/>
      <c r="B159" s="34"/>
      <c r="C159" s="35"/>
      <c r="D159" s="17"/>
      <c r="E159" s="17"/>
      <c r="F159" s="17"/>
      <c r="G159" s="149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ht="18.75">
      <c r="A160" s="17"/>
      <c r="B160" s="34"/>
      <c r="C160" s="35"/>
      <c r="D160" s="17"/>
      <c r="E160" s="17"/>
      <c r="F160" s="17"/>
      <c r="G160" s="149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ht="18.75">
      <c r="A161" s="17"/>
      <c r="B161" s="34"/>
      <c r="C161" s="35"/>
      <c r="D161" s="17"/>
      <c r="E161" s="17"/>
      <c r="F161" s="17"/>
      <c r="G161" s="149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8.75">
      <c r="A162" s="17"/>
      <c r="B162" s="34"/>
      <c r="C162" s="35"/>
      <c r="D162" s="17"/>
      <c r="E162" s="17"/>
      <c r="F162" s="17"/>
      <c r="G162" s="149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8.75">
      <c r="A163" s="17"/>
      <c r="B163" s="34"/>
      <c r="C163" s="35"/>
      <c r="D163" s="17"/>
      <c r="E163" s="17"/>
      <c r="F163" s="17"/>
      <c r="G163" s="149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8.75">
      <c r="A164" s="17"/>
      <c r="B164" s="34"/>
      <c r="C164" s="35"/>
      <c r="D164" s="17"/>
      <c r="E164" s="17"/>
      <c r="F164" s="17"/>
      <c r="G164" s="149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8.75">
      <c r="A165" s="17"/>
      <c r="B165" s="34"/>
      <c r="C165" s="35"/>
      <c r="D165" s="17"/>
      <c r="E165" s="17"/>
      <c r="F165" s="17"/>
      <c r="G165" s="149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8.75">
      <c r="A166" s="17"/>
      <c r="B166" s="34"/>
      <c r="C166" s="35"/>
      <c r="D166" s="17"/>
      <c r="E166" s="17"/>
      <c r="F166" s="17"/>
      <c r="G166" s="149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8.75">
      <c r="A167" s="17"/>
      <c r="B167" s="34"/>
      <c r="C167" s="35"/>
      <c r="D167" s="17"/>
      <c r="E167" s="17"/>
      <c r="F167" s="17"/>
      <c r="G167" s="149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8.75">
      <c r="A168" s="17"/>
      <c r="B168" s="34"/>
      <c r="C168" s="35"/>
      <c r="D168" s="17"/>
      <c r="E168" s="17"/>
      <c r="F168" s="17"/>
      <c r="G168" s="149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8.75">
      <c r="A169" s="17"/>
      <c r="B169" s="34"/>
      <c r="C169" s="35"/>
      <c r="D169" s="17"/>
      <c r="E169" s="17"/>
      <c r="F169" s="17"/>
      <c r="G169" s="149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8.75">
      <c r="A170" s="17"/>
      <c r="B170" s="34"/>
      <c r="C170" s="35"/>
      <c r="D170" s="17"/>
      <c r="E170" s="17"/>
      <c r="F170" s="17"/>
      <c r="G170" s="149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8.75">
      <c r="A171" s="17"/>
      <c r="B171" s="34"/>
      <c r="C171" s="35"/>
      <c r="D171" s="17"/>
      <c r="E171" s="17"/>
      <c r="F171" s="17"/>
      <c r="G171" s="149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8.75">
      <c r="A172" s="17"/>
      <c r="B172" s="34"/>
      <c r="C172" s="35"/>
      <c r="D172" s="17"/>
      <c r="E172" s="17"/>
      <c r="F172" s="17"/>
      <c r="G172" s="149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8.75">
      <c r="A173" s="17"/>
      <c r="B173" s="34"/>
      <c r="C173" s="35"/>
      <c r="D173" s="17"/>
      <c r="E173" s="17"/>
      <c r="F173" s="17"/>
      <c r="G173" s="149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8.75">
      <c r="A174" s="17"/>
      <c r="B174" s="34"/>
      <c r="C174" s="35"/>
      <c r="D174" s="17"/>
      <c r="E174" s="17"/>
      <c r="F174" s="17"/>
      <c r="G174" s="149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8.75">
      <c r="A175" s="17"/>
      <c r="B175" s="34"/>
      <c r="C175" s="35"/>
      <c r="D175" s="17"/>
      <c r="E175" s="17"/>
      <c r="F175" s="17"/>
      <c r="G175" s="149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ht="18.75">
      <c r="A176" s="17"/>
      <c r="B176" s="34"/>
      <c r="C176" s="35"/>
      <c r="D176" s="17"/>
      <c r="E176" s="17"/>
      <c r="F176" s="17"/>
      <c r="G176" s="149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ht="18.75">
      <c r="A177" s="17"/>
      <c r="B177" s="34"/>
      <c r="C177" s="35"/>
      <c r="D177" s="17"/>
      <c r="E177" s="17"/>
      <c r="F177" s="17"/>
      <c r="G177" s="149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ht="18.75">
      <c r="A178" s="17"/>
      <c r="B178" s="34"/>
      <c r="C178" s="35"/>
      <c r="D178" s="17"/>
      <c r="E178" s="17"/>
      <c r="F178" s="17"/>
      <c r="G178" s="149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ht="18.75">
      <c r="A179" s="17"/>
      <c r="B179" s="34"/>
      <c r="C179" s="35"/>
      <c r="D179" s="17"/>
      <c r="E179" s="17"/>
      <c r="F179" s="17"/>
      <c r="G179" s="149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18.75">
      <c r="A180" s="17"/>
      <c r="B180" s="34"/>
      <c r="C180" s="35"/>
      <c r="D180" s="17"/>
      <c r="E180" s="17"/>
      <c r="F180" s="17"/>
      <c r="G180" s="149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ht="18.75">
      <c r="A181" s="17"/>
      <c r="B181" s="34"/>
      <c r="C181" s="35"/>
      <c r="D181" s="17"/>
      <c r="E181" s="17"/>
      <c r="F181" s="17"/>
      <c r="G181" s="149"/>
      <c r="H181" s="17"/>
      <c r="I181" s="17"/>
      <c r="J181" s="17"/>
      <c r="K181" s="17"/>
      <c r="L181" s="17"/>
      <c r="M181" s="17"/>
      <c r="N181" s="17"/>
      <c r="O181" s="17"/>
      <c r="P181" s="17"/>
    </row>
  </sheetData>
  <sheetProtection/>
  <mergeCells count="6">
    <mergeCell ref="E151:F151"/>
    <mergeCell ref="N1:P1"/>
    <mergeCell ref="A1:A2"/>
    <mergeCell ref="B1:B2"/>
    <mergeCell ref="C1:C2"/>
    <mergeCell ref="D1:D2"/>
  </mergeCells>
  <printOptions/>
  <pageMargins left="0.7874015748031497" right="0.7086614173228347" top="0.7480314960629921" bottom="0.5905511811023623" header="0.5118110236220472" footer="0.35433070866141736"/>
  <pageSetup fitToHeight="0" fitToWidth="1" horizontalDpi="600" verticalDpi="600" orientation="landscape" paperSize="9" scale="50" r:id="rId2"/>
  <headerFooter alignWithMargins="0">
    <oddHeader>&amp;C&amp;"Times New Roman,Pogrubiona"&amp;16Plan i wykonanie dochodów budżetu Gminy Golczewo za I półrocze 2010 r. wg klasyfikacji budżetowej (w zł)&amp;R&amp;"Times New Roman,Normalny"&amp;14Załącznik nr 1</oddHeader>
    <oddFooter>&amp;C
Strona &amp;P</oddFooter>
  </headerFooter>
  <rowBreaks count="4" manualBreakCount="4">
    <brk id="26" max="15" man="1"/>
    <brk id="54" max="15" man="1"/>
    <brk id="88" max="15" man="1"/>
    <brk id="114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62"/>
  <sheetViews>
    <sheetView tabSelected="1" view="pageBreakPreview" zoomScale="70" zoomScaleNormal="75" zoomScaleSheetLayoutView="70" zoomScalePageLayoutView="0" workbookViewId="0" topLeftCell="D490">
      <selection activeCell="H514" sqref="H514"/>
    </sheetView>
  </sheetViews>
  <sheetFormatPr defaultColWidth="9.140625" defaultRowHeight="12.75"/>
  <cols>
    <col min="1" max="1" width="5.57421875" style="17" customWidth="1"/>
    <col min="2" max="2" width="8.28125" style="17" customWidth="1"/>
    <col min="3" max="3" width="7.140625" style="17" customWidth="1"/>
    <col min="4" max="4" width="61.8515625" style="17" customWidth="1"/>
    <col min="5" max="5" width="18.00390625" style="17" customWidth="1"/>
    <col min="6" max="6" width="18.140625" style="17" customWidth="1"/>
    <col min="7" max="7" width="9.7109375" style="17" customWidth="1"/>
    <col min="8" max="8" width="18.00390625" style="17" customWidth="1"/>
    <col min="9" max="9" width="18.140625" style="17" customWidth="1"/>
    <col min="10" max="10" width="10.8515625" style="17" customWidth="1"/>
    <col min="11" max="12" width="16.7109375" style="17" customWidth="1"/>
    <col min="13" max="13" width="9.7109375" style="17" customWidth="1"/>
    <col min="14" max="15" width="16.7109375" style="17" customWidth="1"/>
    <col min="16" max="16" width="9.7109375" style="17" customWidth="1"/>
    <col min="17" max="19" width="9.140625" style="17" customWidth="1"/>
    <col min="20" max="20" width="56.421875" style="17" customWidth="1"/>
    <col min="21" max="21" width="17.7109375" style="17" customWidth="1"/>
    <col min="22" max="22" width="11.57421875" style="17" bestFit="1" customWidth="1"/>
    <col min="23" max="23" width="16.57421875" style="17" customWidth="1"/>
    <col min="24" max="24" width="9.8515625" style="17" customWidth="1"/>
    <col min="25" max="25" width="16.7109375" style="17" customWidth="1"/>
    <col min="26" max="26" width="9.8515625" style="17" customWidth="1"/>
    <col min="27" max="27" width="16.7109375" style="17" customWidth="1"/>
    <col min="28" max="28" width="9.7109375" style="17" customWidth="1"/>
    <col min="29" max="16384" width="9.140625" style="17" customWidth="1"/>
  </cols>
  <sheetData>
    <row r="1" spans="1:176" s="39" customFormat="1" ht="28.5" customHeight="1" thickBot="1" thickTop="1">
      <c r="A1" s="510" t="s">
        <v>0</v>
      </c>
      <c r="B1" s="510" t="s">
        <v>1</v>
      </c>
      <c r="C1" s="510" t="s">
        <v>2</v>
      </c>
      <c r="D1" s="510" t="s">
        <v>3</v>
      </c>
      <c r="E1" s="531" t="s">
        <v>46</v>
      </c>
      <c r="F1" s="508"/>
      <c r="G1" s="532"/>
      <c r="H1" s="533" t="s">
        <v>83</v>
      </c>
      <c r="I1" s="508"/>
      <c r="J1" s="530"/>
      <c r="K1" s="507" t="s">
        <v>84</v>
      </c>
      <c r="L1" s="508"/>
      <c r="M1" s="530"/>
      <c r="N1" s="507" t="s">
        <v>87</v>
      </c>
      <c r="O1" s="508"/>
      <c r="P1" s="509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</row>
    <row r="2" spans="1:176" s="115" customFormat="1" ht="51.75" customHeight="1" thickBot="1">
      <c r="A2" s="534"/>
      <c r="B2" s="534"/>
      <c r="C2" s="534"/>
      <c r="D2" s="534"/>
      <c r="E2" s="106" t="s">
        <v>85</v>
      </c>
      <c r="F2" s="106" t="s">
        <v>86</v>
      </c>
      <c r="G2" s="107" t="s">
        <v>82</v>
      </c>
      <c r="H2" s="108" t="s">
        <v>81</v>
      </c>
      <c r="I2" s="106" t="s">
        <v>78</v>
      </c>
      <c r="J2" s="109" t="s">
        <v>82</v>
      </c>
      <c r="K2" s="110" t="s">
        <v>81</v>
      </c>
      <c r="L2" s="111" t="s">
        <v>78</v>
      </c>
      <c r="M2" s="112" t="s">
        <v>82</v>
      </c>
      <c r="N2" s="113" t="s">
        <v>81</v>
      </c>
      <c r="O2" s="60" t="s">
        <v>88</v>
      </c>
      <c r="P2" s="60" t="s">
        <v>82</v>
      </c>
      <c r="Q2" s="31"/>
      <c r="R2" s="16"/>
      <c r="S2" s="114"/>
      <c r="T2" s="114"/>
      <c r="U2" s="114"/>
      <c r="V2" s="114"/>
      <c r="W2" s="114"/>
      <c r="X2" s="114"/>
      <c r="Y2" s="114"/>
      <c r="Z2" s="114"/>
      <c r="AA2" s="16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</row>
    <row r="3" spans="1:177" s="16" customFormat="1" ht="21.75" customHeight="1" thickBot="1" thickTop="1">
      <c r="A3" s="116">
        <v>1</v>
      </c>
      <c r="B3" s="116">
        <v>2</v>
      </c>
      <c r="C3" s="116">
        <v>3</v>
      </c>
      <c r="D3" s="116">
        <v>4</v>
      </c>
      <c r="E3" s="2">
        <v>5</v>
      </c>
      <c r="F3" s="2">
        <v>6</v>
      </c>
      <c r="G3" s="117">
        <v>7</v>
      </c>
      <c r="H3" s="118">
        <v>8</v>
      </c>
      <c r="I3" s="2">
        <v>9</v>
      </c>
      <c r="J3" s="119">
        <v>10</v>
      </c>
      <c r="K3" s="120">
        <v>11</v>
      </c>
      <c r="L3" s="3">
        <v>12</v>
      </c>
      <c r="M3" s="117">
        <v>13</v>
      </c>
      <c r="N3" s="121">
        <v>14</v>
      </c>
      <c r="O3" s="1">
        <v>15</v>
      </c>
      <c r="P3" s="1">
        <v>16</v>
      </c>
      <c r="Q3" s="31"/>
      <c r="S3" s="518" t="s">
        <v>45</v>
      </c>
      <c r="T3" s="520" t="s">
        <v>3</v>
      </c>
      <c r="U3" s="522" t="s">
        <v>89</v>
      </c>
      <c r="V3" s="523"/>
      <c r="W3" s="524" t="s">
        <v>92</v>
      </c>
      <c r="X3" s="525"/>
      <c r="Y3" s="515" t="s">
        <v>90</v>
      </c>
      <c r="Z3" s="516"/>
      <c r="AA3" s="517" t="s">
        <v>91</v>
      </c>
      <c r="AB3" s="510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</row>
    <row r="4" spans="1:28" ht="20.25" thickBot="1" thickTop="1">
      <c r="A4" s="4" t="str">
        <f>"010"</f>
        <v>010</v>
      </c>
      <c r="B4" s="24"/>
      <c r="C4" s="24"/>
      <c r="D4" s="24" t="s">
        <v>19</v>
      </c>
      <c r="E4" s="209">
        <f>E5+E7</f>
        <v>139556.09999999998</v>
      </c>
      <c r="F4" s="209">
        <f>F5+F7</f>
        <v>135768.03</v>
      </c>
      <c r="G4" s="499">
        <f>F4/E4</f>
        <v>0.9728562922007711</v>
      </c>
      <c r="H4" s="210">
        <f>H5</f>
        <v>8500</v>
      </c>
      <c r="I4" s="209">
        <f>I5</f>
        <v>4711.93</v>
      </c>
      <c r="J4" s="93">
        <f>I4/H4</f>
        <v>0.554344705882353</v>
      </c>
      <c r="K4" s="244">
        <f>K7</f>
        <v>131056.09999999999</v>
      </c>
      <c r="L4" s="245">
        <f>L7</f>
        <v>131056.09999999999</v>
      </c>
      <c r="M4" s="127">
        <f>L4/K4</f>
        <v>1</v>
      </c>
      <c r="N4" s="244"/>
      <c r="O4" s="245"/>
      <c r="P4" s="128"/>
      <c r="S4" s="519"/>
      <c r="T4" s="521"/>
      <c r="U4" s="122" t="s">
        <v>76</v>
      </c>
      <c r="V4" s="123" t="s">
        <v>82</v>
      </c>
      <c r="W4" s="45" t="s">
        <v>76</v>
      </c>
      <c r="X4" s="124" t="s">
        <v>82</v>
      </c>
      <c r="Y4" s="125" t="s">
        <v>76</v>
      </c>
      <c r="Z4" s="3" t="s">
        <v>82</v>
      </c>
      <c r="AA4" s="3" t="s">
        <v>76</v>
      </c>
      <c r="AB4" s="3" t="s">
        <v>82</v>
      </c>
    </row>
    <row r="5" spans="1:28" ht="19.5" thickTop="1">
      <c r="A5" s="5"/>
      <c r="B5" s="15" t="str">
        <f>"01030"</f>
        <v>01030</v>
      </c>
      <c r="C5" s="15"/>
      <c r="D5" s="15" t="s">
        <v>41</v>
      </c>
      <c r="E5" s="211">
        <f>E6</f>
        <v>8500</v>
      </c>
      <c r="F5" s="212">
        <f>F6</f>
        <v>4711.93</v>
      </c>
      <c r="G5" s="126">
        <f>F5/E5</f>
        <v>0.554344705882353</v>
      </c>
      <c r="H5" s="212">
        <f>H6</f>
        <v>8500</v>
      </c>
      <c r="I5" s="211">
        <f>I6</f>
        <v>4711.93</v>
      </c>
      <c r="J5" s="129">
        <f>I5/H5</f>
        <v>0.554344705882353</v>
      </c>
      <c r="K5" s="225"/>
      <c r="L5" s="211"/>
      <c r="M5" s="130"/>
      <c r="N5" s="225"/>
      <c r="O5" s="211"/>
      <c r="P5" s="26"/>
      <c r="S5" s="131" t="str">
        <f>A4</f>
        <v>010</v>
      </c>
      <c r="T5" s="132" t="str">
        <f>D4</f>
        <v>Rolnictwo i łowiectwo</v>
      </c>
      <c r="U5" s="133">
        <f>F4</f>
        <v>135768.03</v>
      </c>
      <c r="V5" s="134">
        <f>U5/E4</f>
        <v>0.9728562922007711</v>
      </c>
      <c r="W5" s="135">
        <f>I4</f>
        <v>4711.93</v>
      </c>
      <c r="X5" s="136">
        <f>W5/H4</f>
        <v>0.554344705882353</v>
      </c>
      <c r="Y5" s="29">
        <f>L4</f>
        <v>131056.09999999999</v>
      </c>
      <c r="Z5" s="137" t="e">
        <f>Y5/#REF!</f>
        <v>#REF!</v>
      </c>
      <c r="AA5" s="29">
        <f>O4</f>
        <v>0</v>
      </c>
      <c r="AB5" s="138" t="e">
        <f>AA5/#REF!</f>
        <v>#REF!</v>
      </c>
    </row>
    <row r="6" spans="1:28" ht="45" customHeight="1">
      <c r="A6" s="5"/>
      <c r="B6" s="15"/>
      <c r="C6" s="199">
        <v>2850</v>
      </c>
      <c r="D6" s="294" t="s">
        <v>122</v>
      </c>
      <c r="E6" s="213">
        <v>8500</v>
      </c>
      <c r="F6" s="214">
        <v>4711.93</v>
      </c>
      <c r="G6" s="126">
        <f aca="true" t="shared" si="0" ref="G6:G14">F6/E6</f>
        <v>0.554344705882353</v>
      </c>
      <c r="H6" s="214">
        <v>8500</v>
      </c>
      <c r="I6" s="214">
        <v>4711.93</v>
      </c>
      <c r="J6" s="139">
        <f>I6/H6</f>
        <v>0.554344705882353</v>
      </c>
      <c r="K6" s="226"/>
      <c r="L6" s="213"/>
      <c r="M6" s="140"/>
      <c r="N6" s="226"/>
      <c r="O6" s="213"/>
      <c r="P6" s="10"/>
      <c r="S6" s="141">
        <f>A15</f>
        <v>600</v>
      </c>
      <c r="T6" s="57" t="str">
        <f>D15</f>
        <v>Transport i łączność</v>
      </c>
      <c r="U6" s="142">
        <f>F15</f>
        <v>758584.4199999999</v>
      </c>
      <c r="V6" s="143">
        <f>U6/E15</f>
        <v>0.24460799200316002</v>
      </c>
      <c r="W6" s="144">
        <f>I15</f>
        <v>740726.9199999999</v>
      </c>
      <c r="X6" s="145">
        <f>W6/H15</f>
        <v>0.2653033381088825</v>
      </c>
      <c r="Y6" s="144">
        <f>L15</f>
        <v>0</v>
      </c>
      <c r="Z6" s="145" t="e">
        <f>Y6/#REF!</f>
        <v>#REF!</v>
      </c>
      <c r="AA6" s="144">
        <f>O15</f>
        <v>17857.5</v>
      </c>
      <c r="AB6" s="146">
        <f>$AA6/N15</f>
        <v>0.05774921173902498</v>
      </c>
    </row>
    <row r="7" spans="1:28" ht="18.75">
      <c r="A7" s="5"/>
      <c r="B7" s="290" t="s">
        <v>148</v>
      </c>
      <c r="C7" s="200"/>
      <c r="D7" s="186" t="s">
        <v>4</v>
      </c>
      <c r="E7" s="218">
        <f>SUM(E8:E14)</f>
        <v>131056.09999999999</v>
      </c>
      <c r="F7" s="218">
        <f>SUM(F8:F14)</f>
        <v>131056.09999999999</v>
      </c>
      <c r="G7" s="126">
        <f t="shared" si="0"/>
        <v>1</v>
      </c>
      <c r="H7" s="216"/>
      <c r="I7" s="216"/>
      <c r="J7" s="164"/>
      <c r="K7" s="236">
        <f>SUM(K8:K14)</f>
        <v>131056.09999999999</v>
      </c>
      <c r="L7" s="218">
        <f>SUM(L8:L14)</f>
        <v>131056.09999999999</v>
      </c>
      <c r="M7" s="166">
        <f aca="true" t="shared" si="1" ref="M7:M14">L7/K7</f>
        <v>1</v>
      </c>
      <c r="N7" s="254"/>
      <c r="O7" s="218"/>
      <c r="P7" s="23"/>
      <c r="S7" s="141"/>
      <c r="T7" s="57"/>
      <c r="U7" s="142"/>
      <c r="V7" s="143"/>
      <c r="W7" s="144"/>
      <c r="X7" s="145"/>
      <c r="Y7" s="144"/>
      <c r="Z7" s="145"/>
      <c r="AA7" s="144"/>
      <c r="AB7" s="146"/>
    </row>
    <row r="8" spans="1:28" ht="18.75">
      <c r="A8" s="5"/>
      <c r="B8" s="15"/>
      <c r="C8" s="199">
        <v>4210</v>
      </c>
      <c r="D8" s="294" t="s">
        <v>42</v>
      </c>
      <c r="E8" s="213">
        <v>300</v>
      </c>
      <c r="F8" s="214">
        <v>300</v>
      </c>
      <c r="G8" s="126">
        <f t="shared" si="0"/>
        <v>1</v>
      </c>
      <c r="H8" s="214"/>
      <c r="I8" s="213"/>
      <c r="J8" s="187"/>
      <c r="K8" s="213">
        <v>300</v>
      </c>
      <c r="L8" s="214">
        <v>300</v>
      </c>
      <c r="M8" s="165">
        <f t="shared" si="1"/>
        <v>1</v>
      </c>
      <c r="N8" s="238"/>
      <c r="O8" s="213"/>
      <c r="P8" s="10"/>
      <c r="S8" s="141"/>
      <c r="T8" s="57"/>
      <c r="U8" s="142"/>
      <c r="V8" s="143"/>
      <c r="W8" s="144"/>
      <c r="X8" s="145"/>
      <c r="Y8" s="144"/>
      <c r="Z8" s="145"/>
      <c r="AA8" s="144"/>
      <c r="AB8" s="146"/>
    </row>
    <row r="9" spans="1:28" ht="18.75">
      <c r="A9" s="5"/>
      <c r="B9" s="15"/>
      <c r="C9" s="199">
        <v>4260</v>
      </c>
      <c r="D9" s="296" t="s">
        <v>52</v>
      </c>
      <c r="E9" s="213">
        <v>200</v>
      </c>
      <c r="F9" s="214">
        <v>200</v>
      </c>
      <c r="G9" s="126">
        <f t="shared" si="0"/>
        <v>1</v>
      </c>
      <c r="H9" s="214"/>
      <c r="I9" s="213"/>
      <c r="J9" s="187"/>
      <c r="K9" s="213">
        <v>200</v>
      </c>
      <c r="L9" s="214">
        <v>200</v>
      </c>
      <c r="M9" s="165"/>
      <c r="N9" s="238"/>
      <c r="O9" s="213"/>
      <c r="P9" s="10"/>
      <c r="S9" s="141"/>
      <c r="T9" s="57"/>
      <c r="U9" s="142"/>
      <c r="V9" s="143"/>
      <c r="W9" s="144"/>
      <c r="X9" s="145"/>
      <c r="Y9" s="144"/>
      <c r="Z9" s="145"/>
      <c r="AA9" s="144"/>
      <c r="AB9" s="146"/>
    </row>
    <row r="10" spans="1:28" ht="18.75">
      <c r="A10" s="5"/>
      <c r="B10" s="15"/>
      <c r="C10" s="199">
        <v>4300</v>
      </c>
      <c r="D10" s="296" t="s">
        <v>44</v>
      </c>
      <c r="E10" s="213">
        <v>769.73</v>
      </c>
      <c r="F10" s="214">
        <v>769.73</v>
      </c>
      <c r="G10" s="126">
        <f t="shared" si="0"/>
        <v>1</v>
      </c>
      <c r="H10" s="214"/>
      <c r="I10" s="213"/>
      <c r="J10" s="187"/>
      <c r="K10" s="213">
        <v>769.73</v>
      </c>
      <c r="L10" s="214">
        <v>769.73</v>
      </c>
      <c r="M10" s="165">
        <f t="shared" si="1"/>
        <v>1</v>
      </c>
      <c r="N10" s="238"/>
      <c r="O10" s="213"/>
      <c r="P10" s="10"/>
      <c r="S10" s="141"/>
      <c r="T10" s="57"/>
      <c r="U10" s="142"/>
      <c r="V10" s="143"/>
      <c r="W10" s="144"/>
      <c r="X10" s="145"/>
      <c r="Y10" s="144"/>
      <c r="Z10" s="145"/>
      <c r="AA10" s="144"/>
      <c r="AB10" s="146"/>
    </row>
    <row r="11" spans="1:28" ht="37.5">
      <c r="A11" s="5"/>
      <c r="B11" s="15"/>
      <c r="C11" s="199">
        <v>4370</v>
      </c>
      <c r="D11" s="294" t="s">
        <v>159</v>
      </c>
      <c r="E11" s="213">
        <v>300</v>
      </c>
      <c r="F11" s="214">
        <v>300</v>
      </c>
      <c r="G11" s="126">
        <f t="shared" si="0"/>
        <v>1</v>
      </c>
      <c r="H11" s="214"/>
      <c r="I11" s="213"/>
      <c r="J11" s="187"/>
      <c r="K11" s="213">
        <v>300</v>
      </c>
      <c r="L11" s="214">
        <v>300</v>
      </c>
      <c r="M11" s="165"/>
      <c r="N11" s="238"/>
      <c r="O11" s="213"/>
      <c r="P11" s="10"/>
      <c r="S11" s="141"/>
      <c r="T11" s="57"/>
      <c r="U11" s="142"/>
      <c r="V11" s="143"/>
      <c r="W11" s="144"/>
      <c r="X11" s="145"/>
      <c r="Y11" s="144"/>
      <c r="Z11" s="145"/>
      <c r="AA11" s="144"/>
      <c r="AB11" s="146"/>
    </row>
    <row r="12" spans="1:28" ht="18.75">
      <c r="A12" s="5"/>
      <c r="B12" s="15"/>
      <c r="C12" s="199">
        <v>4430</v>
      </c>
      <c r="D12" s="294" t="s">
        <v>53</v>
      </c>
      <c r="E12" s="213">
        <v>128486.37</v>
      </c>
      <c r="F12" s="214">
        <v>128486.37</v>
      </c>
      <c r="G12" s="126">
        <f t="shared" si="0"/>
        <v>1</v>
      </c>
      <c r="H12" s="214"/>
      <c r="I12" s="213"/>
      <c r="J12" s="187"/>
      <c r="K12" s="213">
        <v>128486.37</v>
      </c>
      <c r="L12" s="214">
        <v>128486.37</v>
      </c>
      <c r="M12" s="165">
        <f t="shared" si="1"/>
        <v>1</v>
      </c>
      <c r="N12" s="238"/>
      <c r="O12" s="213"/>
      <c r="P12" s="10"/>
      <c r="S12" s="141"/>
      <c r="T12" s="57"/>
      <c r="U12" s="142"/>
      <c r="V12" s="143"/>
      <c r="W12" s="144"/>
      <c r="X12" s="145"/>
      <c r="Y12" s="144"/>
      <c r="Z12" s="145"/>
      <c r="AA12" s="144"/>
      <c r="AB12" s="146"/>
    </row>
    <row r="13" spans="1:28" ht="37.5">
      <c r="A13" s="5"/>
      <c r="B13" s="15"/>
      <c r="C13" s="199">
        <v>4740</v>
      </c>
      <c r="D13" s="294" t="s">
        <v>157</v>
      </c>
      <c r="E13" s="213">
        <v>500</v>
      </c>
      <c r="F13" s="214">
        <v>500</v>
      </c>
      <c r="G13" s="126">
        <f t="shared" si="0"/>
        <v>1</v>
      </c>
      <c r="H13" s="214"/>
      <c r="I13" s="213"/>
      <c r="J13" s="187"/>
      <c r="K13" s="213">
        <v>500</v>
      </c>
      <c r="L13" s="214">
        <v>500</v>
      </c>
      <c r="M13" s="165">
        <f t="shared" si="1"/>
        <v>1</v>
      </c>
      <c r="N13" s="238"/>
      <c r="O13" s="213"/>
      <c r="P13" s="10"/>
      <c r="S13" s="141"/>
      <c r="T13" s="57"/>
      <c r="U13" s="142"/>
      <c r="V13" s="143"/>
      <c r="W13" s="144"/>
      <c r="X13" s="145"/>
      <c r="Y13" s="144"/>
      <c r="Z13" s="145"/>
      <c r="AA13" s="144"/>
      <c r="AB13" s="146"/>
    </row>
    <row r="14" spans="1:28" ht="38.25" thickBot="1">
      <c r="A14" s="5"/>
      <c r="B14" s="15"/>
      <c r="C14" s="199">
        <v>4750</v>
      </c>
      <c r="D14" s="294" t="s">
        <v>158</v>
      </c>
      <c r="E14" s="213">
        <v>500</v>
      </c>
      <c r="F14" s="214">
        <v>500</v>
      </c>
      <c r="G14" s="126">
        <f t="shared" si="0"/>
        <v>1</v>
      </c>
      <c r="H14" s="214"/>
      <c r="I14" s="213"/>
      <c r="J14" s="188"/>
      <c r="K14" s="213">
        <v>500</v>
      </c>
      <c r="L14" s="214">
        <v>500</v>
      </c>
      <c r="M14" s="165">
        <f t="shared" si="1"/>
        <v>1</v>
      </c>
      <c r="N14" s="238"/>
      <c r="O14" s="213"/>
      <c r="P14" s="10"/>
      <c r="S14" s="141"/>
      <c r="T14" s="57"/>
      <c r="U14" s="142"/>
      <c r="V14" s="143"/>
      <c r="W14" s="144"/>
      <c r="X14" s="145"/>
      <c r="Y14" s="144"/>
      <c r="Z14" s="145"/>
      <c r="AA14" s="144"/>
      <c r="AB14" s="146"/>
    </row>
    <row r="15" spans="1:28" ht="19.5" thickBot="1">
      <c r="A15" s="11">
        <v>600</v>
      </c>
      <c r="B15" s="12"/>
      <c r="C15" s="12"/>
      <c r="D15" s="12" t="s">
        <v>21</v>
      </c>
      <c r="E15" s="215">
        <f>E16+E18+E23</f>
        <v>3101225</v>
      </c>
      <c r="F15" s="215">
        <f>F16+F18+F23</f>
        <v>758584.4199999999</v>
      </c>
      <c r="G15" s="92">
        <f>F15/E15</f>
        <v>0.24460799200316002</v>
      </c>
      <c r="H15" s="221">
        <f>H16+H18+H23</f>
        <v>2792000</v>
      </c>
      <c r="I15" s="215">
        <f>I16+I18+I23</f>
        <v>740726.9199999999</v>
      </c>
      <c r="J15" s="93">
        <f>I15/H15</f>
        <v>0.2653033381088825</v>
      </c>
      <c r="K15" s="227"/>
      <c r="L15" s="215"/>
      <c r="M15" s="193"/>
      <c r="N15" s="221">
        <f>N18+N23</f>
        <v>309225</v>
      </c>
      <c r="O15" s="215">
        <f>O18+O23</f>
        <v>17857.5</v>
      </c>
      <c r="P15" s="14">
        <f>O15/N15</f>
        <v>0.05774921173902498</v>
      </c>
      <c r="S15" s="141">
        <f>A38</f>
        <v>700</v>
      </c>
      <c r="T15" s="57" t="str">
        <f>D38</f>
        <v>Gospodarka mieszkaniowa</v>
      </c>
      <c r="U15" s="142">
        <f>F38</f>
        <v>111743.73000000001</v>
      </c>
      <c r="V15" s="143">
        <f>U15/E38</f>
        <v>0.1662853125</v>
      </c>
      <c r="W15" s="144">
        <f>I38</f>
        <v>111743.73000000001</v>
      </c>
      <c r="X15" s="145">
        <f>W15/H38</f>
        <v>0.1662853125</v>
      </c>
      <c r="Y15" s="144">
        <f>L38</f>
        <v>0</v>
      </c>
      <c r="Z15" s="145" t="e">
        <f>Y15/#REF!</f>
        <v>#REF!</v>
      </c>
      <c r="AA15" s="144">
        <f>O38</f>
        <v>0</v>
      </c>
      <c r="AB15" s="146" t="e">
        <f>AA15/#REF!</f>
        <v>#REF!</v>
      </c>
    </row>
    <row r="16" spans="1:28" ht="18.75">
      <c r="A16" s="7"/>
      <c r="B16" s="15">
        <v>60013</v>
      </c>
      <c r="C16" s="15"/>
      <c r="D16" s="15" t="s">
        <v>220</v>
      </c>
      <c r="E16" s="211">
        <f>E17</f>
        <v>20000</v>
      </c>
      <c r="F16" s="211">
        <f>F17</f>
        <v>0</v>
      </c>
      <c r="G16" s="126">
        <v>0</v>
      </c>
      <c r="H16" s="212">
        <f>H17</f>
        <v>20000</v>
      </c>
      <c r="I16" s="212">
        <f>I17</f>
        <v>0</v>
      </c>
      <c r="J16" s="129">
        <f>I16/H16</f>
        <v>0</v>
      </c>
      <c r="K16" s="225"/>
      <c r="L16" s="211"/>
      <c r="M16" s="396"/>
      <c r="N16" s="212"/>
      <c r="O16" s="211"/>
      <c r="P16" s="8"/>
      <c r="S16" s="141"/>
      <c r="T16" s="57"/>
      <c r="U16" s="142"/>
      <c r="V16" s="143"/>
      <c r="W16" s="144"/>
      <c r="X16" s="145"/>
      <c r="Y16" s="144"/>
      <c r="Z16" s="145"/>
      <c r="AA16" s="144"/>
      <c r="AB16" s="146"/>
    </row>
    <row r="17" spans="1:28" ht="81.75" customHeight="1">
      <c r="A17" s="7"/>
      <c r="B17" s="383"/>
      <c r="C17" s="384">
        <v>6300</v>
      </c>
      <c r="D17" s="411" t="s">
        <v>221</v>
      </c>
      <c r="E17" s="386">
        <v>20000</v>
      </c>
      <c r="F17" s="386">
        <v>0</v>
      </c>
      <c r="G17" s="126">
        <v>0</v>
      </c>
      <c r="H17" s="387">
        <v>20000</v>
      </c>
      <c r="I17" s="386">
        <v>0</v>
      </c>
      <c r="J17" s="412">
        <f>I17/H17</f>
        <v>0</v>
      </c>
      <c r="K17" s="413"/>
      <c r="L17" s="414"/>
      <c r="M17" s="415"/>
      <c r="N17" s="416"/>
      <c r="O17" s="414"/>
      <c r="P17" s="417"/>
      <c r="S17" s="141"/>
      <c r="T17" s="57"/>
      <c r="U17" s="142"/>
      <c r="V17" s="143"/>
      <c r="W17" s="144"/>
      <c r="X17" s="145"/>
      <c r="Y17" s="144"/>
      <c r="Z17" s="145"/>
      <c r="AA17" s="144"/>
      <c r="AB17" s="146"/>
    </row>
    <row r="18" spans="1:28" ht="18.75">
      <c r="A18" s="7"/>
      <c r="B18" s="15">
        <v>60014</v>
      </c>
      <c r="C18" s="15"/>
      <c r="D18" s="15" t="s">
        <v>17</v>
      </c>
      <c r="E18" s="211">
        <f>SUM(E19:E22)</f>
        <v>909225</v>
      </c>
      <c r="F18" s="211">
        <f>SUM(F19:F22)</f>
        <v>395490.5</v>
      </c>
      <c r="G18" s="126">
        <f aca="true" t="shared" si="2" ref="G18:G23">F18/E18</f>
        <v>0.4349753911298084</v>
      </c>
      <c r="H18" s="211">
        <f>H21+H22</f>
        <v>600000</v>
      </c>
      <c r="I18" s="211">
        <f>I21+I22</f>
        <v>377633</v>
      </c>
      <c r="J18" s="129">
        <f>I18/H18</f>
        <v>0.6293883333333333</v>
      </c>
      <c r="K18" s="228"/>
      <c r="L18" s="222"/>
      <c r="M18" s="192"/>
      <c r="N18" s="220">
        <f>N19+N20+N21</f>
        <v>309225</v>
      </c>
      <c r="O18" s="232">
        <f>O19+O20+O21</f>
        <v>17857.5</v>
      </c>
      <c r="P18" s="26">
        <f>O18/N18</f>
        <v>0.05774921173902498</v>
      </c>
      <c r="S18" s="141">
        <f>A60</f>
        <v>710</v>
      </c>
      <c r="T18" s="57" t="str">
        <f>D60</f>
        <v>Działalność usługowa</v>
      </c>
      <c r="U18" s="142">
        <f>F60</f>
        <v>18721.15</v>
      </c>
      <c r="V18" s="143">
        <f>U18/E60</f>
        <v>0.1782966666666667</v>
      </c>
      <c r="W18" s="144">
        <f>I60</f>
        <v>18721.15</v>
      </c>
      <c r="X18" s="145">
        <f>W18/H60</f>
        <v>0.1835406862745098</v>
      </c>
      <c r="Y18" s="144">
        <f>L60</f>
        <v>0</v>
      </c>
      <c r="Z18" s="145" t="e">
        <f>Y18/#REF!</f>
        <v>#REF!</v>
      </c>
      <c r="AA18" s="144">
        <f>O60</f>
        <v>0</v>
      </c>
      <c r="AB18" s="146">
        <f>AA18/N60</f>
        <v>0</v>
      </c>
    </row>
    <row r="19" spans="1:28" ht="20.25" customHeight="1">
      <c r="A19" s="7"/>
      <c r="B19" s="15"/>
      <c r="C19" s="15">
        <v>4270</v>
      </c>
      <c r="D19" s="296" t="s">
        <v>43</v>
      </c>
      <c r="E19" s="213">
        <v>4148</v>
      </c>
      <c r="F19" s="213">
        <v>4148</v>
      </c>
      <c r="G19" s="126">
        <f t="shared" si="2"/>
        <v>1</v>
      </c>
      <c r="H19" s="214"/>
      <c r="I19" s="213"/>
      <c r="J19" s="129" t="s">
        <v>166</v>
      </c>
      <c r="K19" s="228"/>
      <c r="L19" s="222"/>
      <c r="M19" s="397"/>
      <c r="N19" s="467">
        <v>4148</v>
      </c>
      <c r="O19" s="233">
        <v>4148</v>
      </c>
      <c r="P19" s="10">
        <f>O19/N19</f>
        <v>1</v>
      </c>
      <c r="S19" s="141">
        <f>A156</f>
        <v>754</v>
      </c>
      <c r="T19" s="206" t="str">
        <f>D156</f>
        <v>Bezpieczeństwo publiczne i ochrona przeciwpożarowa</v>
      </c>
      <c r="U19" s="142">
        <f>F156</f>
        <v>165914.83000000002</v>
      </c>
      <c r="V19" s="143">
        <f>U19/E156</f>
        <v>0.4935003866745985</v>
      </c>
      <c r="W19" s="144">
        <f>I156</f>
        <v>165914.83000000002</v>
      </c>
      <c r="X19" s="145">
        <f>W19/H156</f>
        <v>0.4935003866745985</v>
      </c>
      <c r="Y19" s="144">
        <f>L156</f>
        <v>0</v>
      </c>
      <c r="Z19" s="145" t="e">
        <f>Y19/#REF!</f>
        <v>#REF!</v>
      </c>
      <c r="AA19" s="144">
        <f>O156</f>
        <v>0</v>
      </c>
      <c r="AB19" s="146" t="e">
        <f>AA19/#REF!</f>
        <v>#REF!</v>
      </c>
    </row>
    <row r="20" spans="1:28" ht="18.75">
      <c r="A20" s="7"/>
      <c r="B20" s="15"/>
      <c r="C20" s="15">
        <v>4300</v>
      </c>
      <c r="D20" s="296" t="s">
        <v>44</v>
      </c>
      <c r="E20" s="214">
        <v>5077</v>
      </c>
      <c r="F20" s="214">
        <v>5077</v>
      </c>
      <c r="G20" s="126">
        <f t="shared" si="2"/>
        <v>1</v>
      </c>
      <c r="H20" s="214"/>
      <c r="I20" s="214"/>
      <c r="J20" s="129" t="s">
        <v>166</v>
      </c>
      <c r="K20" s="228"/>
      <c r="L20" s="222"/>
      <c r="M20" s="192"/>
      <c r="N20" s="238">
        <v>5077</v>
      </c>
      <c r="O20" s="233">
        <v>5077</v>
      </c>
      <c r="P20" s="10">
        <f>O20/N20</f>
        <v>1</v>
      </c>
      <c r="S20" s="155"/>
      <c r="T20" s="176"/>
      <c r="U20" s="156"/>
      <c r="V20" s="177"/>
      <c r="W20" s="157"/>
      <c r="X20" s="158"/>
      <c r="Y20" s="157"/>
      <c r="Z20" s="158"/>
      <c r="AA20" s="157"/>
      <c r="AB20" s="159"/>
    </row>
    <row r="21" spans="1:28" ht="18.75">
      <c r="A21" s="7"/>
      <c r="B21" s="15"/>
      <c r="C21" s="15">
        <v>6050</v>
      </c>
      <c r="D21" s="296" t="s">
        <v>72</v>
      </c>
      <c r="E21" s="214">
        <v>310000</v>
      </c>
      <c r="F21" s="214">
        <v>17265</v>
      </c>
      <c r="G21" s="126">
        <f t="shared" si="2"/>
        <v>0.055693548387096774</v>
      </c>
      <c r="H21" s="214">
        <v>10000</v>
      </c>
      <c r="I21" s="214">
        <v>8632.5</v>
      </c>
      <c r="J21" s="129">
        <f aca="true" t="shared" si="3" ref="J21:J30">I21/H21</f>
        <v>0.86325</v>
      </c>
      <c r="K21" s="228"/>
      <c r="L21" s="222"/>
      <c r="M21" s="170"/>
      <c r="N21" s="226">
        <v>300000</v>
      </c>
      <c r="O21" s="233">
        <v>8632.5</v>
      </c>
      <c r="P21" s="10">
        <f>O21/N21</f>
        <v>0.028775</v>
      </c>
      <c r="S21" s="155"/>
      <c r="T21" s="176"/>
      <c r="U21" s="156"/>
      <c r="V21" s="177"/>
      <c r="W21" s="157"/>
      <c r="X21" s="158"/>
      <c r="Y21" s="157"/>
      <c r="Z21" s="158"/>
      <c r="AA21" s="157"/>
      <c r="AB21" s="159"/>
    </row>
    <row r="22" spans="1:28" ht="93.75">
      <c r="A22" s="7"/>
      <c r="B22" s="15"/>
      <c r="C22" s="384">
        <v>6300</v>
      </c>
      <c r="D22" s="411" t="s">
        <v>253</v>
      </c>
      <c r="E22" s="214">
        <v>590000</v>
      </c>
      <c r="F22" s="214">
        <v>369000.5</v>
      </c>
      <c r="G22" s="126">
        <f t="shared" si="2"/>
        <v>0.6254245762711864</v>
      </c>
      <c r="H22" s="214">
        <v>590000</v>
      </c>
      <c r="I22" s="214">
        <v>369000.5</v>
      </c>
      <c r="J22" s="129">
        <f t="shared" si="3"/>
        <v>0.6254245762711864</v>
      </c>
      <c r="K22" s="228"/>
      <c r="L22" s="222"/>
      <c r="M22" s="170"/>
      <c r="N22" s="226"/>
      <c r="O22" s="389"/>
      <c r="P22" s="10"/>
      <c r="S22" s="155"/>
      <c r="T22" s="176"/>
      <c r="U22" s="156"/>
      <c r="V22" s="177"/>
      <c r="W22" s="157"/>
      <c r="X22" s="158"/>
      <c r="Y22" s="157"/>
      <c r="Z22" s="158"/>
      <c r="AA22" s="157"/>
      <c r="AB22" s="159"/>
    </row>
    <row r="23" spans="1:28" ht="21" customHeight="1">
      <c r="A23" s="7"/>
      <c r="B23" s="22">
        <v>60016</v>
      </c>
      <c r="C23" s="22"/>
      <c r="D23" s="22" t="s">
        <v>32</v>
      </c>
      <c r="E23" s="216">
        <f>SUM(E24:E29)</f>
        <v>2172000</v>
      </c>
      <c r="F23" s="216">
        <f>SUM(F24:F29)</f>
        <v>363093.92</v>
      </c>
      <c r="G23" s="103">
        <f t="shared" si="2"/>
        <v>0.16717031307550645</v>
      </c>
      <c r="H23" s="216">
        <f>SUM(H24:H29)</f>
        <v>2172000</v>
      </c>
      <c r="I23" s="216">
        <f>SUM(I24:I29)</f>
        <v>363093.92</v>
      </c>
      <c r="J23" s="86">
        <f t="shared" si="3"/>
        <v>0.16717031307550645</v>
      </c>
      <c r="K23" s="229"/>
      <c r="L23" s="224"/>
      <c r="M23" s="153"/>
      <c r="N23" s="229"/>
      <c r="O23" s="224"/>
      <c r="P23" s="154"/>
      <c r="S23" s="155">
        <f>A183</f>
        <v>756</v>
      </c>
      <c r="T23" s="205" t="str">
        <f>D183</f>
        <v>Dochody od osób prawnych, od osób fizycznych i od innych jednostek nieposiadających osobowości prawnej oraz wydatki związane z ich poborem</v>
      </c>
      <c r="U23" s="156">
        <f>F183</f>
        <v>23907.39</v>
      </c>
      <c r="V23" s="177">
        <f>U23/E183</f>
        <v>0.43706380255941496</v>
      </c>
      <c r="W23" s="157">
        <f>I183</f>
        <v>23907.39</v>
      </c>
      <c r="X23" s="158">
        <f>W23/H183</f>
        <v>0.43706380255941496</v>
      </c>
      <c r="Y23" s="157">
        <f>L183</f>
        <v>0</v>
      </c>
      <c r="Z23" s="158" t="e">
        <f>Y23/#REF!</f>
        <v>#REF!</v>
      </c>
      <c r="AA23" s="157">
        <f>O183</f>
        <v>0</v>
      </c>
      <c r="AB23" s="159" t="e">
        <f>AA23/#REF!</f>
        <v>#REF!</v>
      </c>
    </row>
    <row r="24" spans="1:28" ht="18.75">
      <c r="A24" s="7"/>
      <c r="B24" s="15"/>
      <c r="C24" s="15">
        <v>4210</v>
      </c>
      <c r="D24" s="296" t="s">
        <v>42</v>
      </c>
      <c r="E24" s="213">
        <v>30000</v>
      </c>
      <c r="F24" s="214">
        <v>5214.57</v>
      </c>
      <c r="G24" s="126">
        <f aca="true" t="shared" si="4" ref="G24:G29">F24/E24</f>
        <v>0.173819</v>
      </c>
      <c r="H24" s="213">
        <v>30000</v>
      </c>
      <c r="I24" s="214">
        <v>5214.57</v>
      </c>
      <c r="J24" s="139">
        <f t="shared" si="3"/>
        <v>0.173819</v>
      </c>
      <c r="K24" s="228"/>
      <c r="L24" s="222"/>
      <c r="M24" s="148"/>
      <c r="N24" s="228"/>
      <c r="O24" s="222"/>
      <c r="P24" s="30"/>
      <c r="S24" s="178"/>
      <c r="T24" s="28" t="e">
        <f>#REF!</f>
        <v>#REF!</v>
      </c>
      <c r="U24" s="179"/>
      <c r="V24" s="180"/>
      <c r="W24" s="29"/>
      <c r="X24" s="137"/>
      <c r="Y24" s="29"/>
      <c r="Z24" s="137"/>
      <c r="AA24" s="29"/>
      <c r="AB24" s="138"/>
    </row>
    <row r="25" spans="1:28" ht="18.75">
      <c r="A25" s="7"/>
      <c r="B25" s="15"/>
      <c r="C25" s="15">
        <v>4270</v>
      </c>
      <c r="D25" s="296" t="s">
        <v>43</v>
      </c>
      <c r="E25" s="213">
        <v>20000</v>
      </c>
      <c r="F25" s="214">
        <v>11485.08</v>
      </c>
      <c r="G25" s="126">
        <f t="shared" si="4"/>
        <v>0.574254</v>
      </c>
      <c r="H25" s="213">
        <v>20000</v>
      </c>
      <c r="I25" s="214">
        <v>11485.08</v>
      </c>
      <c r="J25" s="139">
        <f t="shared" si="3"/>
        <v>0.574254</v>
      </c>
      <c r="K25" s="228"/>
      <c r="L25" s="222"/>
      <c r="M25" s="148"/>
      <c r="N25" s="228"/>
      <c r="O25" s="222"/>
      <c r="P25" s="30"/>
      <c r="S25" s="141">
        <f>A188</f>
        <v>757</v>
      </c>
      <c r="T25" s="57" t="str">
        <f>D188</f>
        <v>Obsługa długu publicznego</v>
      </c>
      <c r="U25" s="142">
        <f>F188</f>
        <v>159498.85</v>
      </c>
      <c r="V25" s="143">
        <f>U25/E188</f>
        <v>0.32411877667140826</v>
      </c>
      <c r="W25" s="144">
        <f>I188</f>
        <v>159498.85</v>
      </c>
      <c r="X25" s="145">
        <f>W25/H188</f>
        <v>0.32411877667140826</v>
      </c>
      <c r="Y25" s="144">
        <f>L188</f>
        <v>0</v>
      </c>
      <c r="Z25" s="145" t="e">
        <f>Y25/#REF!</f>
        <v>#REF!</v>
      </c>
      <c r="AA25" s="144">
        <f>O188</f>
        <v>0</v>
      </c>
      <c r="AB25" s="146" t="e">
        <f>AA25/#REF!</f>
        <v>#REF!</v>
      </c>
    </row>
    <row r="26" spans="1:28" ht="18.75">
      <c r="A26" s="7"/>
      <c r="B26" s="15"/>
      <c r="C26" s="15">
        <v>4300</v>
      </c>
      <c r="D26" s="296" t="s">
        <v>44</v>
      </c>
      <c r="E26" s="213">
        <v>207000</v>
      </c>
      <c r="F26" s="214">
        <v>186464.16</v>
      </c>
      <c r="G26" s="126">
        <f t="shared" si="4"/>
        <v>0.9007930434782608</v>
      </c>
      <c r="H26" s="213">
        <v>207000</v>
      </c>
      <c r="I26" s="214">
        <v>186464.16</v>
      </c>
      <c r="J26" s="139">
        <f t="shared" si="3"/>
        <v>0.9007930434782608</v>
      </c>
      <c r="K26" s="228"/>
      <c r="L26" s="222"/>
      <c r="M26" s="148"/>
      <c r="N26" s="228"/>
      <c r="O26" s="222"/>
      <c r="P26" s="30"/>
      <c r="S26" s="141">
        <f>A195</f>
        <v>801</v>
      </c>
      <c r="T26" s="57" t="str">
        <f>D195</f>
        <v>Oświata i wychowanie</v>
      </c>
      <c r="U26" s="142">
        <f>F195</f>
        <v>3444460.0500000007</v>
      </c>
      <c r="V26" s="143">
        <f>U26/E195</f>
        <v>0.5180550638232593</v>
      </c>
      <c r="W26" s="144">
        <f>I195</f>
        <v>3444460.0500000007</v>
      </c>
      <c r="X26" s="145">
        <f>W26/H195</f>
        <v>0.5180550638232593</v>
      </c>
      <c r="Y26" s="144">
        <f>L195</f>
        <v>0</v>
      </c>
      <c r="Z26" s="145" t="e">
        <f>Y26/#REF!</f>
        <v>#REF!</v>
      </c>
      <c r="AA26" s="144">
        <f>O195</f>
        <v>0</v>
      </c>
      <c r="AB26" s="146" t="e">
        <f>AA26/#REF!</f>
        <v>#REF!</v>
      </c>
    </row>
    <row r="27" spans="1:28" ht="18.75">
      <c r="A27" s="7"/>
      <c r="B27" s="15"/>
      <c r="C27" s="15">
        <v>6050</v>
      </c>
      <c r="D27" s="296" t="s">
        <v>72</v>
      </c>
      <c r="E27" s="213">
        <v>235000</v>
      </c>
      <c r="F27" s="214">
        <v>157673.11</v>
      </c>
      <c r="G27" s="126">
        <f t="shared" si="4"/>
        <v>0.6709494042553191</v>
      </c>
      <c r="H27" s="213">
        <v>235000</v>
      </c>
      <c r="I27" s="214">
        <v>157673.11</v>
      </c>
      <c r="J27" s="139">
        <f t="shared" si="3"/>
        <v>0.6709494042553191</v>
      </c>
      <c r="K27" s="228"/>
      <c r="L27" s="222"/>
      <c r="M27" s="148"/>
      <c r="N27" s="228"/>
      <c r="O27" s="222"/>
      <c r="P27" s="30"/>
      <c r="S27" s="141"/>
      <c r="T27" s="57"/>
      <c r="U27" s="142"/>
      <c r="V27" s="143"/>
      <c r="W27" s="144"/>
      <c r="X27" s="145"/>
      <c r="Y27" s="144"/>
      <c r="Z27" s="145"/>
      <c r="AA27" s="144"/>
      <c r="AB27" s="146"/>
    </row>
    <row r="28" spans="1:28" ht="18.75">
      <c r="A28" s="7"/>
      <c r="B28" s="15"/>
      <c r="C28" s="15">
        <v>6057</v>
      </c>
      <c r="D28" s="296" t="s">
        <v>72</v>
      </c>
      <c r="E28" s="213">
        <v>900000</v>
      </c>
      <c r="F28" s="214">
        <v>1128.5</v>
      </c>
      <c r="G28" s="126">
        <f t="shared" si="4"/>
        <v>0.0012538888888888888</v>
      </c>
      <c r="H28" s="213">
        <v>900000</v>
      </c>
      <c r="I28" s="214">
        <v>1128.5</v>
      </c>
      <c r="J28" s="139">
        <f t="shared" si="3"/>
        <v>0.0012538888888888888</v>
      </c>
      <c r="K28" s="228"/>
      <c r="L28" s="222"/>
      <c r="M28" s="148"/>
      <c r="N28" s="228"/>
      <c r="O28" s="222"/>
      <c r="P28" s="30"/>
      <c r="S28" s="141"/>
      <c r="T28" s="57"/>
      <c r="U28" s="142"/>
      <c r="V28" s="143"/>
      <c r="W28" s="144"/>
      <c r="X28" s="145"/>
      <c r="Y28" s="144"/>
      <c r="Z28" s="145"/>
      <c r="AA28" s="144"/>
      <c r="AB28" s="146"/>
    </row>
    <row r="29" spans="1:28" ht="19.5" thickBot="1">
      <c r="A29" s="7"/>
      <c r="B29" s="15"/>
      <c r="C29" s="15">
        <v>6059</v>
      </c>
      <c r="D29" s="296" t="s">
        <v>72</v>
      </c>
      <c r="E29" s="213">
        <v>780000</v>
      </c>
      <c r="F29" s="214">
        <v>1128.5</v>
      </c>
      <c r="G29" s="126">
        <f t="shared" si="4"/>
        <v>0.0014467948717948717</v>
      </c>
      <c r="H29" s="213">
        <v>780000</v>
      </c>
      <c r="I29" s="214">
        <v>1128.5</v>
      </c>
      <c r="J29" s="139">
        <f t="shared" si="3"/>
        <v>0.0014467948717948717</v>
      </c>
      <c r="K29" s="228"/>
      <c r="L29" s="222"/>
      <c r="M29" s="148"/>
      <c r="N29" s="228"/>
      <c r="O29" s="222"/>
      <c r="P29" s="30"/>
      <c r="S29" s="141"/>
      <c r="T29" s="57"/>
      <c r="U29" s="142"/>
      <c r="V29" s="143"/>
      <c r="W29" s="144"/>
      <c r="X29" s="145"/>
      <c r="Y29" s="144"/>
      <c r="Z29" s="145"/>
      <c r="AA29" s="144"/>
      <c r="AB29" s="146"/>
    </row>
    <row r="30" spans="1:28" s="401" customFormat="1" ht="19.5" thickBot="1">
      <c r="A30" s="11">
        <v>630</v>
      </c>
      <c r="B30" s="12"/>
      <c r="C30" s="12"/>
      <c r="D30" s="12" t="s">
        <v>22</v>
      </c>
      <c r="E30" s="215">
        <f>E31</f>
        <v>460000</v>
      </c>
      <c r="F30" s="215">
        <f>F31</f>
        <v>135246.54</v>
      </c>
      <c r="G30" s="92">
        <f>F30/E30</f>
        <v>0.29401421739130434</v>
      </c>
      <c r="H30" s="215">
        <f>H31</f>
        <v>460000</v>
      </c>
      <c r="I30" s="215">
        <f>I31</f>
        <v>135246.54</v>
      </c>
      <c r="J30" s="93">
        <f t="shared" si="3"/>
        <v>0.29401421739130434</v>
      </c>
      <c r="K30" s="398"/>
      <c r="L30" s="399"/>
      <c r="M30" s="167"/>
      <c r="N30" s="398"/>
      <c r="O30" s="399"/>
      <c r="P30" s="400"/>
      <c r="S30" s="402">
        <f>A339</f>
        <v>852</v>
      </c>
      <c r="T30" s="403" t="str">
        <f>D339</f>
        <v>Pomoc społeczna</v>
      </c>
      <c r="U30" s="404">
        <f>F339</f>
        <v>1401503.42</v>
      </c>
      <c r="V30" s="405">
        <f>U30/E339</f>
        <v>0.47605415081521735</v>
      </c>
      <c r="W30" s="406">
        <f>I339</f>
        <v>552556.8300000001</v>
      </c>
      <c r="X30" s="407">
        <f>W30/H339</f>
        <v>0.46161807017543866</v>
      </c>
      <c r="Y30" s="406">
        <f>L339</f>
        <v>848946.59</v>
      </c>
      <c r="Z30" s="407">
        <f>Y30/K339</f>
        <v>0.48594538637664564</v>
      </c>
      <c r="AA30" s="406">
        <f>O339</f>
        <v>0</v>
      </c>
      <c r="AB30" s="408" t="e">
        <f>AA30/#REF!</f>
        <v>#REF!</v>
      </c>
    </row>
    <row r="31" spans="1:28" ht="18.75">
      <c r="A31" s="5"/>
      <c r="B31" s="15">
        <v>63095</v>
      </c>
      <c r="C31" s="25"/>
      <c r="D31" s="15" t="s">
        <v>4</v>
      </c>
      <c r="E31" s="211">
        <f>SUM(E32:E37)</f>
        <v>460000</v>
      </c>
      <c r="F31" s="211">
        <f>SUM(F32:F37)</f>
        <v>135246.54</v>
      </c>
      <c r="G31" s="126">
        <f>F31/E31</f>
        <v>0.29401421739130434</v>
      </c>
      <c r="H31" s="211">
        <f>SUM(H32:H37)</f>
        <v>460000</v>
      </c>
      <c r="I31" s="211">
        <f>SUM(I32:I37)</f>
        <v>135246.54</v>
      </c>
      <c r="J31" s="151">
        <f aca="true" t="shared" si="5" ref="J31:J50">I31/H31</f>
        <v>0.29401421739130434</v>
      </c>
      <c r="K31" s="228"/>
      <c r="L31" s="222"/>
      <c r="M31" s="170"/>
      <c r="N31" s="228"/>
      <c r="O31" s="222"/>
      <c r="P31" s="30"/>
      <c r="S31" s="152"/>
      <c r="T31" s="57"/>
      <c r="U31" s="142"/>
      <c r="V31" s="143"/>
      <c r="W31" s="144"/>
      <c r="X31" s="145"/>
      <c r="Y31" s="144"/>
      <c r="Z31" s="145"/>
      <c r="AA31" s="144"/>
      <c r="AB31" s="146"/>
    </row>
    <row r="32" spans="1:28" ht="18.75">
      <c r="A32" s="5"/>
      <c r="B32" s="15"/>
      <c r="C32" s="15">
        <v>4210</v>
      </c>
      <c r="D32" s="296" t="s">
        <v>42</v>
      </c>
      <c r="E32" s="213">
        <v>10000</v>
      </c>
      <c r="F32" s="213">
        <v>230</v>
      </c>
      <c r="G32" s="126">
        <f aca="true" t="shared" si="6" ref="G32:G37">F32/E32</f>
        <v>0.023</v>
      </c>
      <c r="H32" s="213">
        <v>10000</v>
      </c>
      <c r="I32" s="213">
        <v>230</v>
      </c>
      <c r="J32" s="319">
        <f t="shared" si="5"/>
        <v>0.023</v>
      </c>
      <c r="K32" s="228"/>
      <c r="L32" s="222"/>
      <c r="M32" s="170"/>
      <c r="N32" s="228"/>
      <c r="O32" s="222"/>
      <c r="P32" s="30"/>
      <c r="S32" s="152"/>
      <c r="T32" s="57"/>
      <c r="U32" s="142"/>
      <c r="V32" s="143"/>
      <c r="W32" s="144"/>
      <c r="X32" s="145"/>
      <c r="Y32" s="144"/>
      <c r="Z32" s="145"/>
      <c r="AA32" s="144"/>
      <c r="AB32" s="146"/>
    </row>
    <row r="33" spans="1:28" ht="18.75">
      <c r="A33" s="5"/>
      <c r="B33" s="15"/>
      <c r="C33" s="15">
        <v>4270</v>
      </c>
      <c r="D33" s="296" t="s">
        <v>43</v>
      </c>
      <c r="E33" s="213">
        <v>10000</v>
      </c>
      <c r="F33" s="213">
        <v>1205.12</v>
      </c>
      <c r="G33" s="126">
        <f t="shared" si="6"/>
        <v>0.120512</v>
      </c>
      <c r="H33" s="213">
        <v>10000</v>
      </c>
      <c r="I33" s="213">
        <v>1205.12</v>
      </c>
      <c r="J33" s="319">
        <f t="shared" si="5"/>
        <v>0.120512</v>
      </c>
      <c r="K33" s="228"/>
      <c r="L33" s="222"/>
      <c r="M33" s="170"/>
      <c r="N33" s="228"/>
      <c r="O33" s="222"/>
      <c r="P33" s="30"/>
      <c r="S33" s="152"/>
      <c r="T33" s="57"/>
      <c r="U33" s="142"/>
      <c r="V33" s="143"/>
      <c r="W33" s="144"/>
      <c r="X33" s="145"/>
      <c r="Y33" s="144"/>
      <c r="Z33" s="145"/>
      <c r="AA33" s="144"/>
      <c r="AB33" s="146"/>
    </row>
    <row r="34" spans="1:28" ht="18.75">
      <c r="A34" s="5"/>
      <c r="B34" s="15"/>
      <c r="C34" s="15">
        <v>4300</v>
      </c>
      <c r="D34" s="294" t="s">
        <v>44</v>
      </c>
      <c r="E34" s="213">
        <v>40000</v>
      </c>
      <c r="F34" s="213">
        <v>4459.02</v>
      </c>
      <c r="G34" s="126">
        <f t="shared" si="6"/>
        <v>0.1114755</v>
      </c>
      <c r="H34" s="213">
        <v>40000</v>
      </c>
      <c r="I34" s="213">
        <v>4459.02</v>
      </c>
      <c r="J34" s="319">
        <f t="shared" si="5"/>
        <v>0.1114755</v>
      </c>
      <c r="K34" s="228"/>
      <c r="L34" s="222"/>
      <c r="M34" s="170"/>
      <c r="N34" s="228"/>
      <c r="O34" s="222"/>
      <c r="P34" s="30"/>
      <c r="S34" s="152"/>
      <c r="T34" s="57"/>
      <c r="U34" s="142"/>
      <c r="V34" s="143"/>
      <c r="W34" s="144"/>
      <c r="X34" s="145"/>
      <c r="Y34" s="144"/>
      <c r="Z34" s="145"/>
      <c r="AA34" s="144"/>
      <c r="AB34" s="146"/>
    </row>
    <row r="35" spans="1:28" ht="18.75">
      <c r="A35" s="7"/>
      <c r="B35" s="15"/>
      <c r="C35" s="15">
        <v>6050</v>
      </c>
      <c r="D35" s="296" t="s">
        <v>135</v>
      </c>
      <c r="E35" s="213">
        <v>120000</v>
      </c>
      <c r="F35" s="213">
        <v>12330</v>
      </c>
      <c r="G35" s="126">
        <f t="shared" si="6"/>
        <v>0.10275</v>
      </c>
      <c r="H35" s="213">
        <v>120000</v>
      </c>
      <c r="I35" s="213">
        <v>12330</v>
      </c>
      <c r="J35" s="139">
        <f>I35/H35</f>
        <v>0.10275</v>
      </c>
      <c r="K35" s="228"/>
      <c r="L35" s="222"/>
      <c r="M35" s="148"/>
      <c r="N35" s="228"/>
      <c r="O35" s="222"/>
      <c r="P35" s="30"/>
      <c r="S35" s="152">
        <f>A413</f>
        <v>854</v>
      </c>
      <c r="T35" s="57" t="str">
        <f>D413</f>
        <v>Edukacyjna opieka wychowawcza</v>
      </c>
      <c r="U35" s="142">
        <f>F413</f>
        <v>101479.54999999999</v>
      </c>
      <c r="V35" s="143">
        <f>U35/E413</f>
        <v>0.4665297443913203</v>
      </c>
      <c r="W35" s="144">
        <f>I413</f>
        <v>101479.54999999999</v>
      </c>
      <c r="X35" s="145">
        <f>W35/H413</f>
        <v>0.4665297443913203</v>
      </c>
      <c r="Y35" s="144">
        <f>L413</f>
        <v>0</v>
      </c>
      <c r="Z35" s="145" t="e">
        <f>Y35/#REF!</f>
        <v>#REF!</v>
      </c>
      <c r="AA35" s="144">
        <f>O413</f>
        <v>0</v>
      </c>
      <c r="AB35" s="146" t="e">
        <f>AA35/#REF!</f>
        <v>#REF!</v>
      </c>
    </row>
    <row r="36" spans="1:28" ht="18.75">
      <c r="A36" s="7"/>
      <c r="B36" s="15"/>
      <c r="C36" s="15">
        <v>6057</v>
      </c>
      <c r="D36" s="296" t="s">
        <v>135</v>
      </c>
      <c r="E36" s="213">
        <v>180000</v>
      </c>
      <c r="F36" s="213">
        <v>71940</v>
      </c>
      <c r="G36" s="126">
        <f t="shared" si="6"/>
        <v>0.39966666666666667</v>
      </c>
      <c r="H36" s="213">
        <v>180000</v>
      </c>
      <c r="I36" s="213">
        <v>71940</v>
      </c>
      <c r="J36" s="139">
        <f t="shared" si="5"/>
        <v>0.39966666666666667</v>
      </c>
      <c r="K36" s="228"/>
      <c r="L36" s="222"/>
      <c r="M36" s="148"/>
      <c r="N36" s="228"/>
      <c r="O36" s="222"/>
      <c r="P36" s="30"/>
      <c r="S36" s="152">
        <f>A479</f>
        <v>921</v>
      </c>
      <c r="T36" s="57" t="str">
        <f>D479</f>
        <v>Kultura i ochrona dziedzictwa narodowego</v>
      </c>
      <c r="U36" s="142">
        <f>F479</f>
        <v>101924.9</v>
      </c>
      <c r="V36" s="143">
        <f>U36/E479</f>
        <v>0.13695901639344263</v>
      </c>
      <c r="W36" s="144">
        <f>I479</f>
        <v>101924.9</v>
      </c>
      <c r="X36" s="145">
        <f>W36/H479</f>
        <v>0.13695901639344263</v>
      </c>
      <c r="Y36" s="144">
        <f>L479</f>
        <v>0</v>
      </c>
      <c r="Z36" s="145" t="e">
        <f>Y36/#REF!</f>
        <v>#REF!</v>
      </c>
      <c r="AA36" s="144">
        <f>O479</f>
        <v>0</v>
      </c>
      <c r="AB36" s="146" t="e">
        <f>AA36/N479</f>
        <v>#DIV/0!</v>
      </c>
    </row>
    <row r="37" spans="1:28" ht="19.5" thickBot="1">
      <c r="A37" s="7"/>
      <c r="B37" s="15"/>
      <c r="C37" s="199">
        <v>6059</v>
      </c>
      <c r="D37" s="296" t="s">
        <v>135</v>
      </c>
      <c r="E37" s="213">
        <v>100000</v>
      </c>
      <c r="F37" s="213">
        <v>45082.4</v>
      </c>
      <c r="G37" s="126">
        <f t="shared" si="6"/>
        <v>0.450824</v>
      </c>
      <c r="H37" s="213">
        <v>100000</v>
      </c>
      <c r="I37" s="213">
        <v>45082.4</v>
      </c>
      <c r="J37" s="139">
        <f>I37/H37</f>
        <v>0.450824</v>
      </c>
      <c r="K37" s="228"/>
      <c r="L37" s="222"/>
      <c r="M37" s="148"/>
      <c r="N37" s="228"/>
      <c r="O37" s="222"/>
      <c r="P37" s="30"/>
      <c r="S37" s="207"/>
      <c r="T37" s="16"/>
      <c r="U37" s="43"/>
      <c r="V37" s="208"/>
      <c r="W37" s="43"/>
      <c r="X37" s="208"/>
      <c r="Y37" s="43"/>
      <c r="Z37" s="208"/>
      <c r="AA37" s="43"/>
      <c r="AB37" s="208"/>
    </row>
    <row r="38" spans="1:16" ht="19.5" thickBot="1">
      <c r="A38" s="11">
        <v>700</v>
      </c>
      <c r="B38" s="12"/>
      <c r="C38" s="12"/>
      <c r="D38" s="12" t="s">
        <v>5</v>
      </c>
      <c r="E38" s="215">
        <f>E39+E42+E49</f>
        <v>672000</v>
      </c>
      <c r="F38" s="215">
        <f>F39+F42+F49</f>
        <v>111743.73000000001</v>
      </c>
      <c r="G38" s="92">
        <f>F38/E38</f>
        <v>0.1662853125</v>
      </c>
      <c r="H38" s="215">
        <f>H42+H49+H39</f>
        <v>672000</v>
      </c>
      <c r="I38" s="215">
        <f>I42+I49+I39</f>
        <v>111743.73000000001</v>
      </c>
      <c r="J38" s="93">
        <f t="shared" si="5"/>
        <v>0.1662853125</v>
      </c>
      <c r="K38" s="227"/>
      <c r="L38" s="215"/>
      <c r="M38" s="150"/>
      <c r="N38" s="227"/>
      <c r="O38" s="215"/>
      <c r="P38" s="14"/>
    </row>
    <row r="39" spans="1:16" ht="18.75">
      <c r="A39" s="7"/>
      <c r="B39" s="15">
        <v>70004</v>
      </c>
      <c r="C39" s="15"/>
      <c r="D39" s="15" t="s">
        <v>181</v>
      </c>
      <c r="E39" s="211">
        <f>SUM(E40:E41)</f>
        <v>20000</v>
      </c>
      <c r="F39" s="211">
        <f>SUM(F40:F41)</f>
        <v>9715.04</v>
      </c>
      <c r="G39" s="322">
        <f>F39/E39</f>
        <v>0.485752</v>
      </c>
      <c r="H39" s="212">
        <f>H40+H41</f>
        <v>20000</v>
      </c>
      <c r="I39" s="212">
        <f>I40+I41</f>
        <v>9715.04</v>
      </c>
      <c r="J39" s="323">
        <f t="shared" si="5"/>
        <v>0.485752</v>
      </c>
      <c r="K39" s="225"/>
      <c r="L39" s="211"/>
      <c r="M39" s="130"/>
      <c r="N39" s="225"/>
      <c r="O39" s="211"/>
      <c r="P39" s="26"/>
    </row>
    <row r="40" spans="1:16" ht="18.75">
      <c r="A40" s="7"/>
      <c r="B40" s="15"/>
      <c r="C40" s="15">
        <v>4260</v>
      </c>
      <c r="D40" s="296" t="s">
        <v>52</v>
      </c>
      <c r="E40" s="213">
        <v>15000</v>
      </c>
      <c r="F40" s="213">
        <v>7822.38</v>
      </c>
      <c r="G40" s="126">
        <f>F40/E40</f>
        <v>0.521492</v>
      </c>
      <c r="H40" s="213">
        <v>15000</v>
      </c>
      <c r="I40" s="214">
        <v>7822.38</v>
      </c>
      <c r="J40" s="94">
        <f t="shared" si="5"/>
        <v>0.521492</v>
      </c>
      <c r="K40" s="225"/>
      <c r="L40" s="211"/>
      <c r="M40" s="130"/>
      <c r="N40" s="225"/>
      <c r="O40" s="211"/>
      <c r="P40" s="26"/>
    </row>
    <row r="41" spans="1:16" ht="37.5">
      <c r="A41" s="5"/>
      <c r="B41" s="25"/>
      <c r="C41" s="199">
        <v>4400</v>
      </c>
      <c r="D41" s="295" t="s">
        <v>182</v>
      </c>
      <c r="E41" s="213">
        <v>5000</v>
      </c>
      <c r="F41" s="213">
        <v>1892.66</v>
      </c>
      <c r="G41" s="126">
        <f>F41/E41</f>
        <v>0.37853200000000004</v>
      </c>
      <c r="H41" s="213">
        <v>5000</v>
      </c>
      <c r="I41" s="214">
        <v>1892.66</v>
      </c>
      <c r="J41" s="94">
        <f t="shared" si="5"/>
        <v>0.37853200000000004</v>
      </c>
      <c r="K41" s="239"/>
      <c r="L41" s="240"/>
      <c r="M41" s="181"/>
      <c r="N41" s="239"/>
      <c r="O41" s="240"/>
      <c r="P41" s="182"/>
    </row>
    <row r="42" spans="1:27" ht="18.75">
      <c r="A42" s="7"/>
      <c r="B42" s="22">
        <v>70005</v>
      </c>
      <c r="C42" s="22"/>
      <c r="D42" s="22" t="s">
        <v>16</v>
      </c>
      <c r="E42" s="218">
        <f>SUM(E43:E48)</f>
        <v>88000</v>
      </c>
      <c r="F42" s="218">
        <f>SUM(F43:F48)</f>
        <v>38022.76</v>
      </c>
      <c r="G42" s="500">
        <f>F42/E42</f>
        <v>0.4320768181818182</v>
      </c>
      <c r="H42" s="216">
        <f>SUM(H43:H48)</f>
        <v>88000</v>
      </c>
      <c r="I42" s="216">
        <f>SUM(I43:I48)</f>
        <v>38022.76</v>
      </c>
      <c r="J42" s="164">
        <f t="shared" si="5"/>
        <v>0.4320768181818182</v>
      </c>
      <c r="K42" s="229"/>
      <c r="L42" s="224"/>
      <c r="M42" s="153"/>
      <c r="N42" s="229"/>
      <c r="O42" s="224"/>
      <c r="P42" s="154"/>
      <c r="U42" s="18">
        <f>F505</f>
        <v>8883849.700000001</v>
      </c>
      <c r="W42" s="18">
        <f>I505</f>
        <v>7756607.400000001</v>
      </c>
      <c r="Y42" s="18">
        <f>L505</f>
        <v>1038549.2899999999</v>
      </c>
      <c r="AA42" s="18">
        <f>O505</f>
        <v>88693.01000000001</v>
      </c>
    </row>
    <row r="43" spans="1:27" ht="18.75">
      <c r="A43" s="7"/>
      <c r="B43" s="15"/>
      <c r="C43" s="15">
        <v>4260</v>
      </c>
      <c r="D43" s="296" t="s">
        <v>52</v>
      </c>
      <c r="E43" s="213">
        <v>5000</v>
      </c>
      <c r="F43" s="214">
        <v>1420.09</v>
      </c>
      <c r="G43" s="126">
        <f aca="true" t="shared" si="7" ref="G43:G48">F43/E43</f>
        <v>0.284018</v>
      </c>
      <c r="H43" s="213">
        <v>5000</v>
      </c>
      <c r="I43" s="214">
        <v>1420.09</v>
      </c>
      <c r="J43" s="187">
        <f t="shared" si="5"/>
        <v>0.284018</v>
      </c>
      <c r="K43" s="228"/>
      <c r="L43" s="222"/>
      <c r="M43" s="170"/>
      <c r="N43" s="228"/>
      <c r="O43" s="222"/>
      <c r="P43" s="30"/>
      <c r="U43" s="18"/>
      <c r="W43" s="18"/>
      <c r="Y43" s="18"/>
      <c r="AA43" s="18"/>
    </row>
    <row r="44" spans="1:16" ht="18.75">
      <c r="A44" s="7"/>
      <c r="B44" s="15"/>
      <c r="C44" s="199">
        <v>4300</v>
      </c>
      <c r="D44" s="294" t="s">
        <v>44</v>
      </c>
      <c r="E44" s="213">
        <v>58000</v>
      </c>
      <c r="F44" s="214">
        <v>25993.46</v>
      </c>
      <c r="G44" s="126">
        <f t="shared" si="7"/>
        <v>0.44816310344827587</v>
      </c>
      <c r="H44" s="213">
        <v>58000</v>
      </c>
      <c r="I44" s="214">
        <v>25993.46</v>
      </c>
      <c r="J44" s="187">
        <f t="shared" si="5"/>
        <v>0.44816310344827587</v>
      </c>
      <c r="K44" s="228"/>
      <c r="L44" s="222"/>
      <c r="M44" s="148"/>
      <c r="N44" s="228"/>
      <c r="O44" s="222"/>
      <c r="P44" s="30"/>
    </row>
    <row r="45" spans="1:16" ht="37.5">
      <c r="A45" s="7"/>
      <c r="B45" s="15"/>
      <c r="C45" s="199">
        <v>4400</v>
      </c>
      <c r="D45" s="295" t="s">
        <v>182</v>
      </c>
      <c r="E45" s="214">
        <v>1000</v>
      </c>
      <c r="F45" s="214">
        <v>0</v>
      </c>
      <c r="G45" s="126">
        <f t="shared" si="7"/>
        <v>0</v>
      </c>
      <c r="H45" s="214">
        <v>1000</v>
      </c>
      <c r="I45" s="214">
        <v>0</v>
      </c>
      <c r="J45" s="187">
        <f t="shared" si="5"/>
        <v>0</v>
      </c>
      <c r="K45" s="228"/>
      <c r="L45" s="222"/>
      <c r="M45" s="148"/>
      <c r="N45" s="228"/>
      <c r="O45" s="222"/>
      <c r="P45" s="30"/>
    </row>
    <row r="46" spans="1:16" ht="18.75">
      <c r="A46" s="7"/>
      <c r="B46" s="15"/>
      <c r="C46" s="199">
        <v>4510</v>
      </c>
      <c r="D46" s="294" t="s">
        <v>249</v>
      </c>
      <c r="E46" s="214">
        <v>1200</v>
      </c>
      <c r="F46" s="214">
        <v>1167.42</v>
      </c>
      <c r="G46" s="126">
        <f t="shared" si="7"/>
        <v>0.9728500000000001</v>
      </c>
      <c r="H46" s="214">
        <v>1200</v>
      </c>
      <c r="I46" s="214">
        <v>1167.42</v>
      </c>
      <c r="J46" s="187">
        <f t="shared" si="5"/>
        <v>0.9728500000000001</v>
      </c>
      <c r="K46" s="228"/>
      <c r="L46" s="222"/>
      <c r="M46" s="148"/>
      <c r="N46" s="228"/>
      <c r="O46" s="222"/>
      <c r="P46" s="30"/>
    </row>
    <row r="47" spans="1:16" ht="37.5">
      <c r="A47" s="7"/>
      <c r="B47" s="15"/>
      <c r="C47" s="199">
        <v>4520</v>
      </c>
      <c r="D47" s="294" t="s">
        <v>222</v>
      </c>
      <c r="E47" s="214">
        <v>8800</v>
      </c>
      <c r="F47" s="214">
        <v>401.86</v>
      </c>
      <c r="G47" s="126">
        <f t="shared" si="7"/>
        <v>0.04566590909090909</v>
      </c>
      <c r="H47" s="214">
        <v>8800</v>
      </c>
      <c r="I47" s="214">
        <v>401.86</v>
      </c>
      <c r="J47" s="187">
        <f t="shared" si="5"/>
        <v>0.04566590909090909</v>
      </c>
      <c r="K47" s="228"/>
      <c r="L47" s="222"/>
      <c r="M47" s="148"/>
      <c r="N47" s="228"/>
      <c r="O47" s="222"/>
      <c r="P47" s="30"/>
    </row>
    <row r="48" spans="1:16" ht="37.5">
      <c r="A48" s="7"/>
      <c r="B48" s="15"/>
      <c r="C48" s="199">
        <v>4610</v>
      </c>
      <c r="D48" s="294" t="s">
        <v>183</v>
      </c>
      <c r="E48" s="214">
        <v>14000</v>
      </c>
      <c r="F48" s="214">
        <v>9039.93</v>
      </c>
      <c r="G48" s="501">
        <f t="shared" si="7"/>
        <v>0.6457092857142858</v>
      </c>
      <c r="H48" s="214">
        <v>14000</v>
      </c>
      <c r="I48" s="214">
        <v>9039.93</v>
      </c>
      <c r="J48" s="139">
        <f t="shared" si="5"/>
        <v>0.6457092857142858</v>
      </c>
      <c r="K48" s="228"/>
      <c r="L48" s="222"/>
      <c r="M48" s="148"/>
      <c r="N48" s="228"/>
      <c r="O48" s="222"/>
      <c r="P48" s="30"/>
    </row>
    <row r="49" spans="1:16" ht="18.75">
      <c r="A49" s="7"/>
      <c r="B49" s="22">
        <v>70095</v>
      </c>
      <c r="C49" s="22"/>
      <c r="D49" s="22" t="s">
        <v>4</v>
      </c>
      <c r="E49" s="216">
        <f>SUM(E50:E59)</f>
        <v>564000</v>
      </c>
      <c r="F49" s="216">
        <f>SUM(F50:F59)</f>
        <v>64005.93</v>
      </c>
      <c r="G49" s="103">
        <f>F49/E49</f>
        <v>0.1134856914893617</v>
      </c>
      <c r="H49" s="216">
        <f>SUM(H50:H59)</f>
        <v>564000</v>
      </c>
      <c r="I49" s="216">
        <f>SUM(I50:I58)</f>
        <v>64005.93</v>
      </c>
      <c r="J49" s="86">
        <f t="shared" si="5"/>
        <v>0.1134856914893617</v>
      </c>
      <c r="K49" s="229"/>
      <c r="L49" s="224"/>
      <c r="M49" s="153"/>
      <c r="N49" s="229"/>
      <c r="O49" s="224"/>
      <c r="P49" s="154"/>
    </row>
    <row r="50" spans="1:16" ht="18.75">
      <c r="A50" s="7"/>
      <c r="B50" s="15"/>
      <c r="C50" s="15">
        <v>4210</v>
      </c>
      <c r="D50" s="296" t="s">
        <v>42</v>
      </c>
      <c r="E50" s="214">
        <v>6000</v>
      </c>
      <c r="F50" s="214">
        <v>65.01</v>
      </c>
      <c r="G50" s="126">
        <f aca="true" t="shared" si="8" ref="G50:G59">F50/E50</f>
        <v>0.010835000000000001</v>
      </c>
      <c r="H50" s="214">
        <v>6000</v>
      </c>
      <c r="I50" s="214">
        <v>65.01</v>
      </c>
      <c r="J50" s="187">
        <f t="shared" si="5"/>
        <v>0.010835000000000001</v>
      </c>
      <c r="K50" s="228"/>
      <c r="L50" s="222"/>
      <c r="M50" s="170"/>
      <c r="N50" s="228"/>
      <c r="O50" s="222"/>
      <c r="P50" s="30"/>
    </row>
    <row r="51" spans="1:16" ht="18.75">
      <c r="A51" s="7"/>
      <c r="B51" s="15"/>
      <c r="C51" s="15">
        <v>4260</v>
      </c>
      <c r="D51" s="296" t="s">
        <v>52</v>
      </c>
      <c r="E51" s="213">
        <v>2000</v>
      </c>
      <c r="F51" s="213">
        <v>0</v>
      </c>
      <c r="G51" s="126">
        <f t="shared" si="8"/>
        <v>0</v>
      </c>
      <c r="H51" s="213">
        <v>2000</v>
      </c>
      <c r="I51" s="213">
        <v>0</v>
      </c>
      <c r="J51" s="139">
        <f>I51/H51</f>
        <v>0</v>
      </c>
      <c r="K51" s="228"/>
      <c r="L51" s="222"/>
      <c r="M51" s="170"/>
      <c r="N51" s="228"/>
      <c r="O51" s="222"/>
      <c r="P51" s="30"/>
    </row>
    <row r="52" spans="1:16" ht="18.75">
      <c r="A52" s="155"/>
      <c r="B52" s="309"/>
      <c r="C52" s="15">
        <v>4270</v>
      </c>
      <c r="D52" s="296" t="s">
        <v>43</v>
      </c>
      <c r="E52" s="213">
        <v>2000</v>
      </c>
      <c r="F52" s="213">
        <v>0</v>
      </c>
      <c r="G52" s="126">
        <f t="shared" si="8"/>
        <v>0</v>
      </c>
      <c r="H52" s="213">
        <v>2000</v>
      </c>
      <c r="I52" s="213">
        <v>0</v>
      </c>
      <c r="J52" s="139">
        <f>I52/H52</f>
        <v>0</v>
      </c>
      <c r="K52" s="228"/>
      <c r="L52" s="222"/>
      <c r="M52" s="170"/>
      <c r="N52" s="228"/>
      <c r="O52" s="222"/>
      <c r="P52" s="30"/>
    </row>
    <row r="53" spans="1:16" ht="18.75">
      <c r="A53" s="7"/>
      <c r="B53" s="15"/>
      <c r="C53" s="15">
        <v>4300</v>
      </c>
      <c r="D53" s="296" t="s">
        <v>44</v>
      </c>
      <c r="E53" s="213">
        <v>66000</v>
      </c>
      <c r="F53" s="213">
        <v>59181</v>
      </c>
      <c r="G53" s="126">
        <f t="shared" si="8"/>
        <v>0.8966818181818181</v>
      </c>
      <c r="H53" s="213">
        <v>66000</v>
      </c>
      <c r="I53" s="213">
        <v>59181</v>
      </c>
      <c r="J53" s="139">
        <f>I53/H53</f>
        <v>0.8966818181818181</v>
      </c>
      <c r="K53" s="228"/>
      <c r="L53" s="222"/>
      <c r="M53" s="148"/>
      <c r="N53" s="228"/>
      <c r="O53" s="222"/>
      <c r="P53" s="30"/>
    </row>
    <row r="54" spans="1:16" ht="18.75">
      <c r="A54" s="7"/>
      <c r="B54" s="15"/>
      <c r="C54" s="15">
        <v>4430</v>
      </c>
      <c r="D54" s="296" t="s">
        <v>53</v>
      </c>
      <c r="E54" s="213">
        <v>8000</v>
      </c>
      <c r="F54" s="213">
        <v>0</v>
      </c>
      <c r="G54" s="126">
        <f t="shared" si="8"/>
        <v>0</v>
      </c>
      <c r="H54" s="213">
        <v>8000</v>
      </c>
      <c r="I54" s="213">
        <v>0</v>
      </c>
      <c r="J54" s="139">
        <f aca="true" t="shared" si="9" ref="J54:J70">I54/H54</f>
        <v>0</v>
      </c>
      <c r="K54" s="228"/>
      <c r="L54" s="222"/>
      <c r="M54" s="148"/>
      <c r="N54" s="228"/>
      <c r="O54" s="222"/>
      <c r="P54" s="30"/>
    </row>
    <row r="55" spans="1:16" ht="37.5">
      <c r="A55" s="7"/>
      <c r="B55" s="15"/>
      <c r="C55" s="199">
        <v>4750</v>
      </c>
      <c r="D55" s="294" t="s">
        <v>158</v>
      </c>
      <c r="E55" s="213">
        <v>1000</v>
      </c>
      <c r="F55" s="213">
        <v>915</v>
      </c>
      <c r="G55" s="126">
        <f t="shared" si="8"/>
        <v>0.915</v>
      </c>
      <c r="H55" s="213">
        <v>1000</v>
      </c>
      <c r="I55" s="213">
        <v>915</v>
      </c>
      <c r="J55" s="139">
        <f t="shared" si="9"/>
        <v>0.915</v>
      </c>
      <c r="K55" s="228"/>
      <c r="L55" s="222"/>
      <c r="M55" s="148"/>
      <c r="N55" s="228"/>
      <c r="O55" s="222"/>
      <c r="P55" s="30"/>
    </row>
    <row r="56" spans="1:16" ht="18.75">
      <c r="A56" s="7"/>
      <c r="B56" s="15"/>
      <c r="C56" s="15">
        <v>6050</v>
      </c>
      <c r="D56" s="296" t="s">
        <v>135</v>
      </c>
      <c r="E56" s="213">
        <v>125000</v>
      </c>
      <c r="F56" s="213">
        <v>3844.92</v>
      </c>
      <c r="G56" s="126">
        <f t="shared" si="8"/>
        <v>0.03075936</v>
      </c>
      <c r="H56" s="213">
        <v>125000</v>
      </c>
      <c r="I56" s="213">
        <v>3844.92</v>
      </c>
      <c r="J56" s="139">
        <f t="shared" si="9"/>
        <v>0.03075936</v>
      </c>
      <c r="K56" s="228"/>
      <c r="L56" s="222"/>
      <c r="M56" s="148"/>
      <c r="N56" s="228"/>
      <c r="O56" s="222"/>
      <c r="P56" s="30"/>
    </row>
    <row r="57" spans="1:16" ht="18.75">
      <c r="A57" s="7"/>
      <c r="B57" s="15"/>
      <c r="C57" s="15">
        <v>6057</v>
      </c>
      <c r="D57" s="296" t="s">
        <v>135</v>
      </c>
      <c r="E57" s="213">
        <v>184000</v>
      </c>
      <c r="F57" s="213">
        <v>0</v>
      </c>
      <c r="G57" s="126">
        <f t="shared" si="8"/>
        <v>0</v>
      </c>
      <c r="H57" s="213">
        <v>184000</v>
      </c>
      <c r="I57" s="213">
        <v>0</v>
      </c>
      <c r="J57" s="139">
        <f t="shared" si="9"/>
        <v>0</v>
      </c>
      <c r="K57" s="228"/>
      <c r="L57" s="222"/>
      <c r="M57" s="148"/>
      <c r="N57" s="228"/>
      <c r="O57" s="222"/>
      <c r="P57" s="30"/>
    </row>
    <row r="58" spans="1:16" ht="18.75">
      <c r="A58" s="7"/>
      <c r="B58" s="15"/>
      <c r="C58" s="199">
        <v>6059</v>
      </c>
      <c r="D58" s="296" t="s">
        <v>135</v>
      </c>
      <c r="E58" s="213">
        <v>120000</v>
      </c>
      <c r="F58" s="213">
        <v>0</v>
      </c>
      <c r="G58" s="126">
        <f t="shared" si="8"/>
        <v>0</v>
      </c>
      <c r="H58" s="213">
        <v>120000</v>
      </c>
      <c r="I58" s="213">
        <v>0</v>
      </c>
      <c r="J58" s="139">
        <f t="shared" si="9"/>
        <v>0</v>
      </c>
      <c r="K58" s="228"/>
      <c r="L58" s="222"/>
      <c r="M58" s="148"/>
      <c r="N58" s="228"/>
      <c r="O58" s="222"/>
      <c r="P58" s="30"/>
    </row>
    <row r="59" spans="1:16" ht="94.5" thickBot="1">
      <c r="A59" s="7"/>
      <c r="B59" s="15"/>
      <c r="C59" s="199">
        <v>6230</v>
      </c>
      <c r="D59" s="468" t="s">
        <v>250</v>
      </c>
      <c r="E59" s="213">
        <v>50000</v>
      </c>
      <c r="F59" s="213">
        <v>0</v>
      </c>
      <c r="G59" s="502">
        <f t="shared" si="8"/>
        <v>0</v>
      </c>
      <c r="H59" s="213">
        <v>50000</v>
      </c>
      <c r="I59" s="213">
        <v>0</v>
      </c>
      <c r="J59" s="139">
        <f t="shared" si="9"/>
        <v>0</v>
      </c>
      <c r="K59" s="228"/>
      <c r="L59" s="222"/>
      <c r="M59" s="148"/>
      <c r="N59" s="228"/>
      <c r="O59" s="222"/>
      <c r="P59" s="30"/>
    </row>
    <row r="60" spans="1:16" ht="19.5" thickBot="1">
      <c r="A60" s="11">
        <v>710</v>
      </c>
      <c r="B60" s="12"/>
      <c r="C60" s="12"/>
      <c r="D60" s="12" t="s">
        <v>33</v>
      </c>
      <c r="E60" s="215">
        <f>E61+E64+E66</f>
        <v>105000</v>
      </c>
      <c r="F60" s="215">
        <f>F61+F64+F66</f>
        <v>18721.15</v>
      </c>
      <c r="G60" s="92">
        <f aca="true" t="shared" si="10" ref="G60:G70">F60/E60</f>
        <v>0.1782966666666667</v>
      </c>
      <c r="H60" s="215">
        <f>H61+H64+H66</f>
        <v>102000</v>
      </c>
      <c r="I60" s="215">
        <f>I61+I64+I66</f>
        <v>18721.15</v>
      </c>
      <c r="J60" s="93">
        <f t="shared" si="9"/>
        <v>0.1835406862745098</v>
      </c>
      <c r="K60" s="227"/>
      <c r="L60" s="215"/>
      <c r="M60" s="150"/>
      <c r="N60" s="227">
        <f>N66</f>
        <v>3000</v>
      </c>
      <c r="O60" s="215">
        <f>O66</f>
        <v>0</v>
      </c>
      <c r="P60" s="185">
        <f>O60/N60</f>
        <v>0</v>
      </c>
    </row>
    <row r="61" spans="1:16" ht="18.75">
      <c r="A61" s="7"/>
      <c r="B61" s="15">
        <v>71004</v>
      </c>
      <c r="C61" s="15"/>
      <c r="D61" s="15" t="s">
        <v>54</v>
      </c>
      <c r="E61" s="211">
        <f>SUM(E62:E63)</f>
        <v>65000</v>
      </c>
      <c r="F61" s="211">
        <f>SUM(F62:F63)</f>
        <v>13802.68</v>
      </c>
      <c r="G61" s="126">
        <f t="shared" si="10"/>
        <v>0.21234892307692307</v>
      </c>
      <c r="H61" s="211">
        <f>H62+H63</f>
        <v>65000</v>
      </c>
      <c r="I61" s="211">
        <f>I62+I63</f>
        <v>13802.68</v>
      </c>
      <c r="J61" s="86">
        <f t="shared" si="9"/>
        <v>0.21234892307692307</v>
      </c>
      <c r="K61" s="225"/>
      <c r="L61" s="211"/>
      <c r="M61" s="162"/>
      <c r="N61" s="225"/>
      <c r="O61" s="211"/>
      <c r="P61" s="26"/>
    </row>
    <row r="62" spans="1:16" ht="18.75">
      <c r="A62" s="7"/>
      <c r="B62" s="15"/>
      <c r="C62" s="15">
        <v>4170</v>
      </c>
      <c r="D62" s="296" t="s">
        <v>98</v>
      </c>
      <c r="E62" s="469">
        <v>2400</v>
      </c>
      <c r="F62" s="470">
        <v>2400</v>
      </c>
      <c r="G62" s="104">
        <f t="shared" si="10"/>
        <v>1</v>
      </c>
      <c r="H62" s="469">
        <v>2400</v>
      </c>
      <c r="I62" s="470">
        <v>2400</v>
      </c>
      <c r="J62" s="471">
        <f t="shared" si="9"/>
        <v>1</v>
      </c>
      <c r="K62" s="220"/>
      <c r="L62" s="211"/>
      <c r="M62" s="162"/>
      <c r="N62" s="225"/>
      <c r="O62" s="211"/>
      <c r="P62" s="26"/>
    </row>
    <row r="63" spans="1:16" ht="18.75">
      <c r="A63" s="7"/>
      <c r="B63" s="15"/>
      <c r="C63" s="15">
        <v>4300</v>
      </c>
      <c r="D63" s="296" t="s">
        <v>44</v>
      </c>
      <c r="E63" s="213">
        <v>62600</v>
      </c>
      <c r="F63" s="217">
        <v>11402.68</v>
      </c>
      <c r="G63" s="104">
        <f t="shared" si="10"/>
        <v>0.1821514376996805</v>
      </c>
      <c r="H63" s="213">
        <v>62600</v>
      </c>
      <c r="I63" s="217">
        <v>11402.68</v>
      </c>
      <c r="J63" s="139">
        <f t="shared" si="9"/>
        <v>0.1821514376996805</v>
      </c>
      <c r="K63" s="228"/>
      <c r="L63" s="222"/>
      <c r="M63" s="148"/>
      <c r="N63" s="228"/>
      <c r="O63" s="222"/>
      <c r="P63" s="30"/>
    </row>
    <row r="64" spans="1:16" ht="18.75">
      <c r="A64" s="7"/>
      <c r="B64" s="22">
        <v>71014</v>
      </c>
      <c r="C64" s="22"/>
      <c r="D64" s="22" t="s">
        <v>136</v>
      </c>
      <c r="E64" s="218">
        <f>E65</f>
        <v>20000</v>
      </c>
      <c r="F64" s="216">
        <f>F65</f>
        <v>4918.47</v>
      </c>
      <c r="G64" s="103">
        <f t="shared" si="10"/>
        <v>0.24592350000000002</v>
      </c>
      <c r="H64" s="216">
        <f>H65</f>
        <v>20000</v>
      </c>
      <c r="I64" s="218">
        <f>I65</f>
        <v>4918.47</v>
      </c>
      <c r="J64" s="164">
        <f t="shared" si="9"/>
        <v>0.24592350000000002</v>
      </c>
      <c r="K64" s="229"/>
      <c r="L64" s="224"/>
      <c r="M64" s="153"/>
      <c r="N64" s="229"/>
      <c r="O64" s="224"/>
      <c r="P64" s="154"/>
    </row>
    <row r="65" spans="1:16" ht="18.75">
      <c r="A65" s="7"/>
      <c r="B65" s="15"/>
      <c r="C65" s="15">
        <v>4300</v>
      </c>
      <c r="D65" s="296" t="s">
        <v>44</v>
      </c>
      <c r="E65" s="213">
        <v>20000</v>
      </c>
      <c r="F65" s="217">
        <v>4918.47</v>
      </c>
      <c r="G65" s="104">
        <f t="shared" si="10"/>
        <v>0.24592350000000002</v>
      </c>
      <c r="H65" s="213">
        <v>20000</v>
      </c>
      <c r="I65" s="217">
        <v>4918.47</v>
      </c>
      <c r="J65" s="139">
        <f t="shared" si="9"/>
        <v>0.24592350000000002</v>
      </c>
      <c r="K65" s="228"/>
      <c r="L65" s="222"/>
      <c r="M65" s="148"/>
      <c r="N65" s="228"/>
      <c r="O65" s="222"/>
      <c r="P65" s="30"/>
    </row>
    <row r="66" spans="1:16" ht="18.75">
      <c r="A66" s="7"/>
      <c r="B66" s="22">
        <v>71035</v>
      </c>
      <c r="C66" s="22"/>
      <c r="D66" s="22" t="s">
        <v>34</v>
      </c>
      <c r="E66" s="218">
        <f>SUM(E67:E69)</f>
        <v>20000</v>
      </c>
      <c r="F66" s="218">
        <f>SUM(F67:F69)</f>
        <v>0</v>
      </c>
      <c r="G66" s="103">
        <f t="shared" si="10"/>
        <v>0</v>
      </c>
      <c r="H66" s="218">
        <f>SUM(H67:H69)</f>
        <v>17000</v>
      </c>
      <c r="I66" s="218">
        <f>SUM(I67:I69)</f>
        <v>0</v>
      </c>
      <c r="J66" s="86">
        <f t="shared" si="9"/>
        <v>0</v>
      </c>
      <c r="K66" s="232"/>
      <c r="L66" s="218"/>
      <c r="M66" s="147"/>
      <c r="N66" s="236">
        <f>N69</f>
        <v>3000</v>
      </c>
      <c r="O66" s="218">
        <f>O69</f>
        <v>0</v>
      </c>
      <c r="P66" s="23">
        <f>P69</f>
        <v>0</v>
      </c>
    </row>
    <row r="67" spans="1:16" ht="18.75">
      <c r="A67" s="7"/>
      <c r="B67" s="9"/>
      <c r="C67" s="15">
        <v>4210</v>
      </c>
      <c r="D67" s="296" t="s">
        <v>42</v>
      </c>
      <c r="E67" s="213">
        <v>5000</v>
      </c>
      <c r="F67" s="214">
        <v>0</v>
      </c>
      <c r="G67" s="104">
        <f t="shared" si="10"/>
        <v>0</v>
      </c>
      <c r="H67" s="213">
        <v>5000</v>
      </c>
      <c r="I67" s="214">
        <v>0</v>
      </c>
      <c r="J67" s="139">
        <f t="shared" si="9"/>
        <v>0</v>
      </c>
      <c r="K67" s="233"/>
      <c r="L67" s="213"/>
      <c r="M67" s="163"/>
      <c r="N67" s="226"/>
      <c r="O67" s="213"/>
      <c r="P67" s="10"/>
    </row>
    <row r="68" spans="1:16" ht="18.75">
      <c r="A68" s="7"/>
      <c r="B68" s="9"/>
      <c r="C68" s="15">
        <v>4270</v>
      </c>
      <c r="D68" s="296" t="s">
        <v>43</v>
      </c>
      <c r="E68" s="213">
        <v>3000</v>
      </c>
      <c r="F68" s="214">
        <v>0</v>
      </c>
      <c r="G68" s="104">
        <f t="shared" si="10"/>
        <v>0</v>
      </c>
      <c r="H68" s="213">
        <v>3000</v>
      </c>
      <c r="I68" s="214">
        <v>0</v>
      </c>
      <c r="J68" s="139">
        <f t="shared" si="9"/>
        <v>0</v>
      </c>
      <c r="K68" s="233"/>
      <c r="L68" s="213"/>
      <c r="M68" s="163"/>
      <c r="N68" s="226"/>
      <c r="O68" s="213"/>
      <c r="P68" s="10"/>
    </row>
    <row r="69" spans="1:16" ht="19.5" thickBot="1">
      <c r="A69" s="7"/>
      <c r="B69" s="9"/>
      <c r="C69" s="15">
        <v>4300</v>
      </c>
      <c r="D69" s="296" t="s">
        <v>44</v>
      </c>
      <c r="E69" s="213">
        <v>12000</v>
      </c>
      <c r="F69" s="214">
        <v>0</v>
      </c>
      <c r="G69" s="104">
        <f t="shared" si="10"/>
        <v>0</v>
      </c>
      <c r="H69" s="213">
        <v>9000</v>
      </c>
      <c r="I69" s="214">
        <v>0</v>
      </c>
      <c r="J69" s="139">
        <f t="shared" si="9"/>
        <v>0</v>
      </c>
      <c r="K69" s="233"/>
      <c r="L69" s="213"/>
      <c r="M69" s="163"/>
      <c r="N69" s="226">
        <v>3000</v>
      </c>
      <c r="O69" s="213">
        <v>0</v>
      </c>
      <c r="P69" s="10">
        <f>O69/N69</f>
        <v>0</v>
      </c>
    </row>
    <row r="70" spans="1:16" ht="19.5" thickBot="1">
      <c r="A70" s="11">
        <v>750</v>
      </c>
      <c r="B70" s="12"/>
      <c r="C70" s="12"/>
      <c r="D70" s="12" t="s">
        <v>24</v>
      </c>
      <c r="E70" s="215">
        <f>E71+E84+E94+E120+E131</f>
        <v>2250333</v>
      </c>
      <c r="F70" s="215">
        <f>F71+F84+F94+F120+F131</f>
        <v>1094251.03</v>
      </c>
      <c r="G70" s="92">
        <f t="shared" si="10"/>
        <v>0.48626182436110565</v>
      </c>
      <c r="H70" s="215">
        <f>H71+H84+H94+H120+H131</f>
        <v>2155333</v>
      </c>
      <c r="I70" s="215">
        <f>I71+I84+I94+I120+I131</f>
        <v>1042755.7599999999</v>
      </c>
      <c r="J70" s="93">
        <f t="shared" si="9"/>
        <v>0.48380262353891484</v>
      </c>
      <c r="K70" s="221">
        <f>K71+K84+K94+K120+K131</f>
        <v>95000</v>
      </c>
      <c r="L70" s="215">
        <f>L71+L84+L94+L120+L131</f>
        <v>51495.27</v>
      </c>
      <c r="M70" s="150">
        <f aca="true" t="shared" si="11" ref="M70:M83">L70/K70</f>
        <v>0.5420554736842105</v>
      </c>
      <c r="N70" s="227"/>
      <c r="O70" s="215"/>
      <c r="P70" s="14"/>
    </row>
    <row r="71" spans="1:16" ht="18.75">
      <c r="A71" s="55"/>
      <c r="B71" s="15">
        <v>75011</v>
      </c>
      <c r="C71" s="15"/>
      <c r="D71" s="15" t="s">
        <v>12</v>
      </c>
      <c r="E71" s="219">
        <f>SUM(E72:E83)</f>
        <v>95000</v>
      </c>
      <c r="F71" s="219">
        <f>SUM(F72:F83)</f>
        <v>51495.27</v>
      </c>
      <c r="G71" s="126">
        <f aca="true" t="shared" si="12" ref="G71:G82">F71/E71</f>
        <v>0.5420554736842105</v>
      </c>
      <c r="H71" s="212"/>
      <c r="I71" s="211"/>
      <c r="J71" s="94"/>
      <c r="K71" s="235">
        <f>SUM(K72:K83)</f>
        <v>95000</v>
      </c>
      <c r="L71" s="235">
        <f>SUM(L72:L83)</f>
        <v>51495.27</v>
      </c>
      <c r="M71" s="162">
        <f t="shared" si="11"/>
        <v>0.5420554736842105</v>
      </c>
      <c r="N71" s="225"/>
      <c r="O71" s="211"/>
      <c r="P71" s="26"/>
    </row>
    <row r="72" spans="1:16" ht="18.75">
      <c r="A72" s="55"/>
      <c r="B72" s="15"/>
      <c r="C72" s="15">
        <v>4010</v>
      </c>
      <c r="D72" s="296" t="s">
        <v>47</v>
      </c>
      <c r="E72" s="213">
        <v>59200</v>
      </c>
      <c r="F72" s="217">
        <v>29600</v>
      </c>
      <c r="G72" s="104">
        <f t="shared" si="12"/>
        <v>0.5</v>
      </c>
      <c r="H72" s="217"/>
      <c r="I72" s="222"/>
      <c r="J72" s="183"/>
      <c r="K72" s="213">
        <v>59200</v>
      </c>
      <c r="L72" s="217">
        <v>29600</v>
      </c>
      <c r="M72" s="148">
        <f t="shared" si="11"/>
        <v>0.5</v>
      </c>
      <c r="N72" s="228"/>
      <c r="O72" s="222"/>
      <c r="P72" s="30"/>
    </row>
    <row r="73" spans="1:16" ht="18.75">
      <c r="A73" s="7"/>
      <c r="B73" s="15"/>
      <c r="C73" s="15">
        <v>4040</v>
      </c>
      <c r="D73" s="296" t="s">
        <v>48</v>
      </c>
      <c r="E73" s="213">
        <v>4300</v>
      </c>
      <c r="F73" s="217">
        <v>4300</v>
      </c>
      <c r="G73" s="104">
        <f t="shared" si="12"/>
        <v>1</v>
      </c>
      <c r="H73" s="217"/>
      <c r="I73" s="222"/>
      <c r="J73" s="183"/>
      <c r="K73" s="213">
        <v>4300</v>
      </c>
      <c r="L73" s="217">
        <v>4300</v>
      </c>
      <c r="M73" s="148">
        <f t="shared" si="11"/>
        <v>1</v>
      </c>
      <c r="N73" s="228"/>
      <c r="O73" s="222"/>
      <c r="P73" s="30"/>
    </row>
    <row r="74" spans="1:16" ht="18.75">
      <c r="A74" s="7"/>
      <c r="B74" s="15"/>
      <c r="C74" s="15">
        <v>4110</v>
      </c>
      <c r="D74" s="296" t="s">
        <v>49</v>
      </c>
      <c r="E74" s="213">
        <v>9400</v>
      </c>
      <c r="F74" s="217">
        <v>5099</v>
      </c>
      <c r="G74" s="104">
        <f t="shared" si="12"/>
        <v>0.5424468085106383</v>
      </c>
      <c r="H74" s="217"/>
      <c r="I74" s="222"/>
      <c r="J74" s="183"/>
      <c r="K74" s="213">
        <v>9400</v>
      </c>
      <c r="L74" s="217">
        <v>5099</v>
      </c>
      <c r="M74" s="148">
        <f t="shared" si="11"/>
        <v>0.5424468085106383</v>
      </c>
      <c r="N74" s="228"/>
      <c r="O74" s="222"/>
      <c r="P74" s="30"/>
    </row>
    <row r="75" spans="1:16" ht="18.75">
      <c r="A75" s="7"/>
      <c r="B75" s="15"/>
      <c r="C75" s="15">
        <v>4120</v>
      </c>
      <c r="D75" s="296" t="s">
        <v>50</v>
      </c>
      <c r="E75" s="213">
        <v>1100</v>
      </c>
      <c r="F75" s="217">
        <v>597</v>
      </c>
      <c r="G75" s="104">
        <f t="shared" si="12"/>
        <v>0.5427272727272727</v>
      </c>
      <c r="H75" s="217"/>
      <c r="I75" s="222"/>
      <c r="J75" s="183"/>
      <c r="K75" s="213">
        <v>1100</v>
      </c>
      <c r="L75" s="217">
        <v>597</v>
      </c>
      <c r="M75" s="148">
        <f t="shared" si="11"/>
        <v>0.5427272727272727</v>
      </c>
      <c r="N75" s="228"/>
      <c r="O75" s="222"/>
      <c r="P75" s="30"/>
    </row>
    <row r="76" spans="1:16" ht="18.75">
      <c r="A76" s="7"/>
      <c r="B76" s="15"/>
      <c r="C76" s="15">
        <v>4210</v>
      </c>
      <c r="D76" s="296" t="s">
        <v>42</v>
      </c>
      <c r="E76" s="213">
        <v>8405</v>
      </c>
      <c r="F76" s="217">
        <v>4258.61</v>
      </c>
      <c r="G76" s="104">
        <f t="shared" si="12"/>
        <v>0.5066757882212968</v>
      </c>
      <c r="H76" s="217"/>
      <c r="I76" s="222"/>
      <c r="J76" s="183"/>
      <c r="K76" s="213">
        <v>8405</v>
      </c>
      <c r="L76" s="217">
        <v>4258.61</v>
      </c>
      <c r="M76" s="148">
        <f t="shared" si="11"/>
        <v>0.5066757882212968</v>
      </c>
      <c r="N76" s="228"/>
      <c r="O76" s="222"/>
      <c r="P76" s="30"/>
    </row>
    <row r="77" spans="1:16" ht="18.75">
      <c r="A77" s="7"/>
      <c r="B77" s="15"/>
      <c r="C77" s="15">
        <v>4260</v>
      </c>
      <c r="D77" s="296" t="s">
        <v>52</v>
      </c>
      <c r="E77" s="213">
        <v>3200</v>
      </c>
      <c r="F77" s="217">
        <v>1700</v>
      </c>
      <c r="G77" s="104">
        <f t="shared" si="12"/>
        <v>0.53125</v>
      </c>
      <c r="H77" s="217"/>
      <c r="I77" s="222"/>
      <c r="J77" s="183"/>
      <c r="K77" s="213">
        <v>3200</v>
      </c>
      <c r="L77" s="217">
        <v>1700</v>
      </c>
      <c r="M77" s="148">
        <f t="shared" si="11"/>
        <v>0.53125</v>
      </c>
      <c r="N77" s="228"/>
      <c r="O77" s="222"/>
      <c r="P77" s="30"/>
    </row>
    <row r="78" spans="1:16" ht="18.75">
      <c r="A78" s="7"/>
      <c r="B78" s="15"/>
      <c r="C78" s="15">
        <v>4300</v>
      </c>
      <c r="D78" s="296" t="s">
        <v>44</v>
      </c>
      <c r="E78" s="213">
        <v>4995</v>
      </c>
      <c r="F78" s="217">
        <v>3142.1</v>
      </c>
      <c r="G78" s="104">
        <f t="shared" si="12"/>
        <v>0.629049049049049</v>
      </c>
      <c r="H78" s="217"/>
      <c r="I78" s="222"/>
      <c r="J78" s="183"/>
      <c r="K78" s="213">
        <v>4995</v>
      </c>
      <c r="L78" s="217">
        <v>3142.1</v>
      </c>
      <c r="M78" s="148">
        <f t="shared" si="11"/>
        <v>0.629049049049049</v>
      </c>
      <c r="N78" s="228"/>
      <c r="O78" s="222"/>
      <c r="P78" s="30"/>
    </row>
    <row r="79" spans="1:16" ht="37.5">
      <c r="A79" s="7"/>
      <c r="B79" s="15"/>
      <c r="C79" s="199">
        <v>4370</v>
      </c>
      <c r="D79" s="294" t="s">
        <v>159</v>
      </c>
      <c r="E79" s="214">
        <v>1200</v>
      </c>
      <c r="F79" s="217">
        <v>700</v>
      </c>
      <c r="G79" s="104">
        <f t="shared" si="12"/>
        <v>0.5833333333333334</v>
      </c>
      <c r="H79" s="217"/>
      <c r="I79" s="217"/>
      <c r="J79" s="183"/>
      <c r="K79" s="214">
        <v>1200</v>
      </c>
      <c r="L79" s="217">
        <v>700</v>
      </c>
      <c r="M79" s="148">
        <f t="shared" si="11"/>
        <v>0.5833333333333334</v>
      </c>
      <c r="N79" s="228"/>
      <c r="O79" s="222"/>
      <c r="P79" s="30"/>
    </row>
    <row r="80" spans="1:16" ht="18.75">
      <c r="A80" s="7"/>
      <c r="B80" s="15"/>
      <c r="C80" s="15">
        <v>4410</v>
      </c>
      <c r="D80" s="296" t="s">
        <v>55</v>
      </c>
      <c r="E80" s="214">
        <v>100</v>
      </c>
      <c r="F80" s="217">
        <v>78.56</v>
      </c>
      <c r="G80" s="104">
        <f t="shared" si="12"/>
        <v>0.7856000000000001</v>
      </c>
      <c r="H80" s="217"/>
      <c r="I80" s="217"/>
      <c r="J80" s="183"/>
      <c r="K80" s="214">
        <v>100</v>
      </c>
      <c r="L80" s="217">
        <v>78.56</v>
      </c>
      <c r="M80" s="148">
        <f t="shared" si="11"/>
        <v>0.7856000000000001</v>
      </c>
      <c r="N80" s="228"/>
      <c r="O80" s="222"/>
      <c r="P80" s="30"/>
    </row>
    <row r="81" spans="1:16" ht="18.75">
      <c r="A81" s="7"/>
      <c r="B81" s="15"/>
      <c r="C81" s="15">
        <v>4440</v>
      </c>
      <c r="D81" s="296"/>
      <c r="E81" s="214">
        <v>1500</v>
      </c>
      <c r="F81" s="217">
        <v>1200</v>
      </c>
      <c r="G81" s="104">
        <f t="shared" si="12"/>
        <v>0.8</v>
      </c>
      <c r="H81" s="217"/>
      <c r="I81" s="217"/>
      <c r="J81" s="183"/>
      <c r="K81" s="214">
        <v>1500</v>
      </c>
      <c r="L81" s="217">
        <v>1200</v>
      </c>
      <c r="M81" s="148">
        <f t="shared" si="11"/>
        <v>0.8</v>
      </c>
      <c r="N81" s="228"/>
      <c r="O81" s="222"/>
      <c r="P81" s="30"/>
    </row>
    <row r="82" spans="1:16" ht="37.5">
      <c r="A82" s="7"/>
      <c r="B82" s="15"/>
      <c r="C82" s="199">
        <v>4700</v>
      </c>
      <c r="D82" s="294" t="s">
        <v>161</v>
      </c>
      <c r="E82" s="214">
        <v>600</v>
      </c>
      <c r="F82" s="217">
        <v>320</v>
      </c>
      <c r="G82" s="104">
        <f t="shared" si="12"/>
        <v>0.5333333333333333</v>
      </c>
      <c r="H82" s="217"/>
      <c r="I82" s="217"/>
      <c r="J82" s="183"/>
      <c r="K82" s="214">
        <v>600</v>
      </c>
      <c r="L82" s="217">
        <v>320</v>
      </c>
      <c r="M82" s="148">
        <f t="shared" si="11"/>
        <v>0.5333333333333333</v>
      </c>
      <c r="N82" s="228"/>
      <c r="O82" s="222"/>
      <c r="P82" s="30"/>
    </row>
    <row r="83" spans="1:16" ht="37.5">
      <c r="A83" s="7"/>
      <c r="B83" s="15"/>
      <c r="C83" s="199">
        <v>4750</v>
      </c>
      <c r="D83" s="294" t="s">
        <v>158</v>
      </c>
      <c r="E83" s="214">
        <v>1000</v>
      </c>
      <c r="F83" s="217">
        <v>500</v>
      </c>
      <c r="G83" s="104">
        <f>F83/E83</f>
        <v>0.5</v>
      </c>
      <c r="H83" s="217"/>
      <c r="I83" s="217"/>
      <c r="J83" s="291"/>
      <c r="K83" s="214">
        <v>1000</v>
      </c>
      <c r="L83" s="217">
        <v>500</v>
      </c>
      <c r="M83" s="148">
        <f t="shared" si="11"/>
        <v>0.5</v>
      </c>
      <c r="N83" s="228"/>
      <c r="O83" s="222"/>
      <c r="P83" s="30"/>
    </row>
    <row r="84" spans="1:16" ht="18.75">
      <c r="A84" s="7"/>
      <c r="B84" s="22">
        <v>75022</v>
      </c>
      <c r="C84" s="22"/>
      <c r="D84" s="22" t="s">
        <v>56</v>
      </c>
      <c r="E84" s="216">
        <f>SUM(E85:E93)</f>
        <v>106660</v>
      </c>
      <c r="F84" s="216">
        <f>SUM(F85:F93)</f>
        <v>40306.07</v>
      </c>
      <c r="G84" s="103">
        <f aca="true" t="shared" si="13" ref="G84:G92">F84/E84</f>
        <v>0.37789302456403523</v>
      </c>
      <c r="H84" s="216">
        <f>SUM(H85:H93)</f>
        <v>106660</v>
      </c>
      <c r="I84" s="216">
        <f>SUM(I85:I93)</f>
        <v>40306.07</v>
      </c>
      <c r="J84" s="86">
        <f aca="true" t="shared" si="14" ref="J84:J94">I84/H84</f>
        <v>0.37789302456403523</v>
      </c>
      <c r="K84" s="236"/>
      <c r="L84" s="218"/>
      <c r="M84" s="147"/>
      <c r="N84" s="236"/>
      <c r="O84" s="218"/>
      <c r="P84" s="23"/>
    </row>
    <row r="85" spans="1:16" ht="18.75">
      <c r="A85" s="7"/>
      <c r="B85" s="15"/>
      <c r="C85" s="15">
        <v>3030</v>
      </c>
      <c r="D85" s="296" t="s">
        <v>57</v>
      </c>
      <c r="E85" s="213">
        <v>96000</v>
      </c>
      <c r="F85" s="217">
        <v>39445</v>
      </c>
      <c r="G85" s="104">
        <f t="shared" si="13"/>
        <v>0.41088541666666667</v>
      </c>
      <c r="H85" s="213">
        <v>96000</v>
      </c>
      <c r="I85" s="217">
        <v>39445</v>
      </c>
      <c r="J85" s="139">
        <f t="shared" si="14"/>
        <v>0.41088541666666667</v>
      </c>
      <c r="K85" s="228"/>
      <c r="L85" s="222"/>
      <c r="M85" s="148"/>
      <c r="N85" s="228"/>
      <c r="O85" s="222"/>
      <c r="P85" s="30"/>
    </row>
    <row r="86" spans="1:16" ht="18.75">
      <c r="A86" s="7"/>
      <c r="B86" s="15"/>
      <c r="C86" s="15">
        <v>4210</v>
      </c>
      <c r="D86" s="296" t="s">
        <v>42</v>
      </c>
      <c r="E86" s="213">
        <v>2500</v>
      </c>
      <c r="F86" s="217">
        <v>147.07</v>
      </c>
      <c r="G86" s="104">
        <f t="shared" si="13"/>
        <v>0.058828</v>
      </c>
      <c r="H86" s="213">
        <v>2500</v>
      </c>
      <c r="I86" s="217">
        <v>147.07</v>
      </c>
      <c r="J86" s="139">
        <f t="shared" si="14"/>
        <v>0.058828</v>
      </c>
      <c r="K86" s="228"/>
      <c r="L86" s="222"/>
      <c r="M86" s="148"/>
      <c r="N86" s="228"/>
      <c r="O86" s="222"/>
      <c r="P86" s="30"/>
    </row>
    <row r="87" spans="1:16" ht="18.75">
      <c r="A87" s="7"/>
      <c r="B87" s="15"/>
      <c r="C87" s="15">
        <v>4240</v>
      </c>
      <c r="D87" s="296" t="s">
        <v>129</v>
      </c>
      <c r="E87" s="213">
        <v>500</v>
      </c>
      <c r="F87" s="217">
        <v>494</v>
      </c>
      <c r="G87" s="104">
        <f t="shared" si="13"/>
        <v>0.988</v>
      </c>
      <c r="H87" s="213">
        <v>500</v>
      </c>
      <c r="I87" s="217">
        <v>494</v>
      </c>
      <c r="J87" s="139">
        <f t="shared" si="14"/>
        <v>0.988</v>
      </c>
      <c r="K87" s="228"/>
      <c r="L87" s="222"/>
      <c r="M87" s="148"/>
      <c r="N87" s="228"/>
      <c r="O87" s="222"/>
      <c r="P87" s="30"/>
    </row>
    <row r="88" spans="1:16" ht="18.75">
      <c r="A88" s="7"/>
      <c r="B88" s="15"/>
      <c r="C88" s="15">
        <v>4300</v>
      </c>
      <c r="D88" s="296" t="s">
        <v>44</v>
      </c>
      <c r="E88" s="213">
        <v>3560</v>
      </c>
      <c r="F88" s="217">
        <v>220</v>
      </c>
      <c r="G88" s="104">
        <f t="shared" si="13"/>
        <v>0.06179775280898876</v>
      </c>
      <c r="H88" s="213">
        <v>3560</v>
      </c>
      <c r="I88" s="217">
        <v>220</v>
      </c>
      <c r="J88" s="139">
        <f t="shared" si="14"/>
        <v>0.06179775280898876</v>
      </c>
      <c r="K88" s="228"/>
      <c r="L88" s="222"/>
      <c r="M88" s="148"/>
      <c r="N88" s="228"/>
      <c r="O88" s="222"/>
      <c r="P88" s="30"/>
    </row>
    <row r="89" spans="1:16" ht="37.5">
      <c r="A89" s="7"/>
      <c r="B89" s="15"/>
      <c r="C89" s="199">
        <v>4370</v>
      </c>
      <c r="D89" s="294" t="s">
        <v>159</v>
      </c>
      <c r="E89" s="213">
        <v>600</v>
      </c>
      <c r="F89" s="217">
        <v>0</v>
      </c>
      <c r="G89" s="104">
        <f t="shared" si="13"/>
        <v>0</v>
      </c>
      <c r="H89" s="213">
        <v>600</v>
      </c>
      <c r="I89" s="217">
        <v>0</v>
      </c>
      <c r="J89" s="139">
        <f t="shared" si="14"/>
        <v>0</v>
      </c>
      <c r="K89" s="228"/>
      <c r="L89" s="222"/>
      <c r="M89" s="148"/>
      <c r="N89" s="228"/>
      <c r="O89" s="222"/>
      <c r="P89" s="30"/>
    </row>
    <row r="90" spans="1:16" ht="18.75">
      <c r="A90" s="7"/>
      <c r="B90" s="15"/>
      <c r="C90" s="15">
        <v>4410</v>
      </c>
      <c r="D90" s="296" t="s">
        <v>55</v>
      </c>
      <c r="E90" s="213">
        <v>1000</v>
      </c>
      <c r="F90" s="217">
        <v>0</v>
      </c>
      <c r="G90" s="104">
        <f t="shared" si="13"/>
        <v>0</v>
      </c>
      <c r="H90" s="213">
        <v>1000</v>
      </c>
      <c r="I90" s="217">
        <v>0</v>
      </c>
      <c r="J90" s="139">
        <f t="shared" si="14"/>
        <v>0</v>
      </c>
      <c r="K90" s="228"/>
      <c r="L90" s="222"/>
      <c r="M90" s="148"/>
      <c r="N90" s="228"/>
      <c r="O90" s="222"/>
      <c r="P90" s="30"/>
    </row>
    <row r="91" spans="1:16" ht="37.5">
      <c r="A91" s="7"/>
      <c r="B91" s="15"/>
      <c r="C91" s="199">
        <v>4700</v>
      </c>
      <c r="D91" s="295" t="s">
        <v>161</v>
      </c>
      <c r="E91" s="213">
        <v>500</v>
      </c>
      <c r="F91" s="217">
        <v>0</v>
      </c>
      <c r="G91" s="104">
        <f t="shared" si="13"/>
        <v>0</v>
      </c>
      <c r="H91" s="213">
        <v>500</v>
      </c>
      <c r="I91" s="217">
        <v>0</v>
      </c>
      <c r="J91" s="139">
        <f t="shared" si="14"/>
        <v>0</v>
      </c>
      <c r="K91" s="228"/>
      <c r="L91" s="222"/>
      <c r="M91" s="148"/>
      <c r="N91" s="228"/>
      <c r="O91" s="222"/>
      <c r="P91" s="30"/>
    </row>
    <row r="92" spans="1:16" ht="37.5">
      <c r="A92" s="7"/>
      <c r="B92" s="15"/>
      <c r="C92" s="199">
        <v>4740</v>
      </c>
      <c r="D92" s="294" t="s">
        <v>157</v>
      </c>
      <c r="E92" s="213">
        <v>1000</v>
      </c>
      <c r="F92" s="217">
        <v>0</v>
      </c>
      <c r="G92" s="104">
        <f t="shared" si="13"/>
        <v>0</v>
      </c>
      <c r="H92" s="213">
        <v>1000</v>
      </c>
      <c r="I92" s="217">
        <v>0</v>
      </c>
      <c r="J92" s="139">
        <f t="shared" si="14"/>
        <v>0</v>
      </c>
      <c r="K92" s="228"/>
      <c r="L92" s="222"/>
      <c r="M92" s="148"/>
      <c r="N92" s="228"/>
      <c r="O92" s="222"/>
      <c r="P92" s="30"/>
    </row>
    <row r="93" spans="1:16" ht="37.5">
      <c r="A93" s="7"/>
      <c r="B93" s="15"/>
      <c r="C93" s="199">
        <v>4750</v>
      </c>
      <c r="D93" s="294" t="s">
        <v>158</v>
      </c>
      <c r="E93" s="213">
        <v>1000</v>
      </c>
      <c r="F93" s="217">
        <v>0</v>
      </c>
      <c r="G93" s="409">
        <f>F93/E93</f>
        <v>0</v>
      </c>
      <c r="H93" s="213">
        <v>1000</v>
      </c>
      <c r="I93" s="217">
        <v>0</v>
      </c>
      <c r="J93" s="139">
        <f t="shared" si="14"/>
        <v>0</v>
      </c>
      <c r="K93" s="228"/>
      <c r="L93" s="222"/>
      <c r="M93" s="148"/>
      <c r="N93" s="228"/>
      <c r="O93" s="222"/>
      <c r="P93" s="30"/>
    </row>
    <row r="94" spans="1:16" ht="18.75">
      <c r="A94" s="7"/>
      <c r="B94" s="22">
        <v>75023</v>
      </c>
      <c r="C94" s="22"/>
      <c r="D94" s="22" t="s">
        <v>58</v>
      </c>
      <c r="E94" s="218">
        <f>SUM(E95:E119)</f>
        <v>1723673</v>
      </c>
      <c r="F94" s="218">
        <f>SUM(F95:F119)</f>
        <v>808894.0199999999</v>
      </c>
      <c r="G94" s="126">
        <f aca="true" t="shared" si="15" ref="G94:G118">F94/E94</f>
        <v>0.46928507901440697</v>
      </c>
      <c r="H94" s="218">
        <f>SUM(H95:H119)</f>
        <v>1723673</v>
      </c>
      <c r="I94" s="218">
        <f>SUM(I95:I119)</f>
        <v>808894.0199999999</v>
      </c>
      <c r="J94" s="86">
        <f t="shared" si="14"/>
        <v>0.46928507901440697</v>
      </c>
      <c r="K94" s="236"/>
      <c r="L94" s="218"/>
      <c r="M94" s="147"/>
      <c r="N94" s="236"/>
      <c r="O94" s="218"/>
      <c r="P94" s="23"/>
    </row>
    <row r="95" spans="1:16" ht="18.75">
      <c r="A95" s="7"/>
      <c r="B95" s="15"/>
      <c r="C95" s="15">
        <v>3020</v>
      </c>
      <c r="D95" s="296" t="s">
        <v>123</v>
      </c>
      <c r="E95" s="213">
        <v>700</v>
      </c>
      <c r="F95" s="217">
        <v>250</v>
      </c>
      <c r="G95" s="104">
        <f t="shared" si="15"/>
        <v>0.35714285714285715</v>
      </c>
      <c r="H95" s="213">
        <v>700</v>
      </c>
      <c r="I95" s="217">
        <v>250</v>
      </c>
      <c r="J95" s="139">
        <f aca="true" t="shared" si="16" ref="J95:J107">I95/H95</f>
        <v>0.35714285714285715</v>
      </c>
      <c r="K95" s="228"/>
      <c r="L95" s="222"/>
      <c r="M95" s="148"/>
      <c r="N95" s="228"/>
      <c r="O95" s="222"/>
      <c r="P95" s="30"/>
    </row>
    <row r="96" spans="1:16" ht="18.75">
      <c r="A96" s="7"/>
      <c r="B96" s="15"/>
      <c r="C96" s="15">
        <v>4010</v>
      </c>
      <c r="D96" s="296" t="s">
        <v>47</v>
      </c>
      <c r="E96" s="213">
        <v>1002273</v>
      </c>
      <c r="F96" s="217">
        <v>457419.67</v>
      </c>
      <c r="G96" s="104">
        <f t="shared" si="15"/>
        <v>0.4563823130025452</v>
      </c>
      <c r="H96" s="213">
        <v>1002273</v>
      </c>
      <c r="I96" s="217">
        <v>457419.67</v>
      </c>
      <c r="J96" s="139">
        <f t="shared" si="16"/>
        <v>0.4563823130025452</v>
      </c>
      <c r="K96" s="228"/>
      <c r="L96" s="222"/>
      <c r="M96" s="148"/>
      <c r="N96" s="228"/>
      <c r="O96" s="222"/>
      <c r="P96" s="30"/>
    </row>
    <row r="97" spans="1:16" ht="18.75">
      <c r="A97" s="7"/>
      <c r="B97" s="15"/>
      <c r="C97" s="15">
        <v>4040</v>
      </c>
      <c r="D97" s="296" t="s">
        <v>48</v>
      </c>
      <c r="E97" s="213">
        <v>71410</v>
      </c>
      <c r="F97" s="217">
        <v>71401.82</v>
      </c>
      <c r="G97" s="104">
        <f t="shared" si="15"/>
        <v>0.9998854502170565</v>
      </c>
      <c r="H97" s="213">
        <v>71410</v>
      </c>
      <c r="I97" s="217">
        <v>71401.82</v>
      </c>
      <c r="J97" s="139">
        <f t="shared" si="16"/>
        <v>0.9998854502170565</v>
      </c>
      <c r="K97" s="228"/>
      <c r="L97" s="222"/>
      <c r="M97" s="148"/>
      <c r="N97" s="228"/>
      <c r="O97" s="222"/>
      <c r="P97" s="30"/>
    </row>
    <row r="98" spans="1:16" ht="18.75">
      <c r="A98" s="7"/>
      <c r="B98" s="15"/>
      <c r="C98" s="15">
        <v>4110</v>
      </c>
      <c r="D98" s="296" t="s">
        <v>49</v>
      </c>
      <c r="E98" s="213">
        <v>174800</v>
      </c>
      <c r="F98" s="217">
        <v>68706.74</v>
      </c>
      <c r="G98" s="104">
        <f t="shared" si="15"/>
        <v>0.39305915331807784</v>
      </c>
      <c r="H98" s="213">
        <v>174800</v>
      </c>
      <c r="I98" s="217">
        <v>68706.74</v>
      </c>
      <c r="J98" s="139">
        <f t="shared" si="16"/>
        <v>0.39305915331807784</v>
      </c>
      <c r="K98" s="228"/>
      <c r="L98" s="222"/>
      <c r="M98" s="148"/>
      <c r="N98" s="228"/>
      <c r="O98" s="222"/>
      <c r="P98" s="30"/>
    </row>
    <row r="99" spans="1:16" ht="18.75">
      <c r="A99" s="7"/>
      <c r="B99" s="15"/>
      <c r="C99" s="15">
        <v>4120</v>
      </c>
      <c r="D99" s="296" t="s">
        <v>50</v>
      </c>
      <c r="E99" s="213">
        <v>27100</v>
      </c>
      <c r="F99" s="217">
        <v>11160.61</v>
      </c>
      <c r="G99" s="104">
        <f t="shared" si="15"/>
        <v>0.41183062730627307</v>
      </c>
      <c r="H99" s="213">
        <v>27100</v>
      </c>
      <c r="I99" s="217">
        <v>11160.61</v>
      </c>
      <c r="J99" s="139">
        <f>I99/H99</f>
        <v>0.41183062730627307</v>
      </c>
      <c r="K99" s="228"/>
      <c r="L99" s="222"/>
      <c r="M99" s="148"/>
      <c r="N99" s="228"/>
      <c r="O99" s="222"/>
      <c r="P99" s="30"/>
    </row>
    <row r="100" spans="1:16" ht="18.75">
      <c r="A100" s="7"/>
      <c r="B100" s="15"/>
      <c r="C100" s="15">
        <v>4140</v>
      </c>
      <c r="D100" s="296" t="s">
        <v>51</v>
      </c>
      <c r="E100" s="213">
        <v>23000</v>
      </c>
      <c r="F100" s="217">
        <v>9798.47</v>
      </c>
      <c r="G100" s="104">
        <f t="shared" si="15"/>
        <v>0.42602043478260865</v>
      </c>
      <c r="H100" s="213">
        <v>23000</v>
      </c>
      <c r="I100" s="217">
        <v>9798.47</v>
      </c>
      <c r="J100" s="139">
        <f>I100/H100</f>
        <v>0.42602043478260865</v>
      </c>
      <c r="K100" s="228"/>
      <c r="L100" s="222"/>
      <c r="M100" s="148"/>
      <c r="N100" s="228"/>
      <c r="O100" s="222"/>
      <c r="P100" s="30"/>
    </row>
    <row r="101" spans="1:16" ht="18.75">
      <c r="A101" s="7"/>
      <c r="B101" s="15"/>
      <c r="C101" s="15">
        <v>4170</v>
      </c>
      <c r="D101" s="296" t="s">
        <v>98</v>
      </c>
      <c r="E101" s="213">
        <v>6290</v>
      </c>
      <c r="F101" s="217">
        <v>744.2</v>
      </c>
      <c r="G101" s="104">
        <f t="shared" si="15"/>
        <v>0.11831478537360891</v>
      </c>
      <c r="H101" s="213">
        <v>6290</v>
      </c>
      <c r="I101" s="217">
        <v>744.2</v>
      </c>
      <c r="J101" s="139">
        <f>I101/H101</f>
        <v>0.11831478537360891</v>
      </c>
      <c r="K101" s="228"/>
      <c r="L101" s="222"/>
      <c r="M101" s="170"/>
      <c r="N101" s="228"/>
      <c r="O101" s="222"/>
      <c r="P101" s="30"/>
    </row>
    <row r="102" spans="1:16" ht="18.75">
      <c r="A102" s="7"/>
      <c r="B102" s="15"/>
      <c r="C102" s="15">
        <v>4210</v>
      </c>
      <c r="D102" s="296" t="s">
        <v>42</v>
      </c>
      <c r="E102" s="213">
        <v>72260</v>
      </c>
      <c r="F102" s="217">
        <v>17245.29</v>
      </c>
      <c r="G102" s="104">
        <f t="shared" si="15"/>
        <v>0.23865610296152784</v>
      </c>
      <c r="H102" s="213">
        <v>72260</v>
      </c>
      <c r="I102" s="217">
        <v>17245.29</v>
      </c>
      <c r="J102" s="139">
        <f t="shared" si="16"/>
        <v>0.23865610296152784</v>
      </c>
      <c r="K102" s="228"/>
      <c r="L102" s="222"/>
      <c r="M102" s="170"/>
      <c r="N102" s="228"/>
      <c r="O102" s="222"/>
      <c r="P102" s="30"/>
    </row>
    <row r="103" spans="1:16" ht="18.75">
      <c r="A103" s="7"/>
      <c r="B103" s="15"/>
      <c r="C103" s="15">
        <v>4240</v>
      </c>
      <c r="D103" s="296" t="s">
        <v>129</v>
      </c>
      <c r="E103" s="213">
        <v>15000</v>
      </c>
      <c r="F103" s="217">
        <v>11311.13</v>
      </c>
      <c r="G103" s="104">
        <f t="shared" si="15"/>
        <v>0.7540753333333333</v>
      </c>
      <c r="H103" s="213">
        <v>15000</v>
      </c>
      <c r="I103" s="217">
        <v>11311.13</v>
      </c>
      <c r="J103" s="139">
        <f t="shared" si="16"/>
        <v>0.7540753333333333</v>
      </c>
      <c r="K103" s="228"/>
      <c r="L103" s="222"/>
      <c r="M103" s="170"/>
      <c r="N103" s="228"/>
      <c r="O103" s="222"/>
      <c r="P103" s="30"/>
    </row>
    <row r="104" spans="1:16" ht="18.75">
      <c r="A104" s="7"/>
      <c r="B104" s="15"/>
      <c r="C104" s="15">
        <v>4260</v>
      </c>
      <c r="D104" s="296" t="s">
        <v>52</v>
      </c>
      <c r="E104" s="213">
        <v>50000</v>
      </c>
      <c r="F104" s="217">
        <v>28758.54</v>
      </c>
      <c r="G104" s="104">
        <f t="shared" si="15"/>
        <v>0.5751708</v>
      </c>
      <c r="H104" s="213">
        <v>50000</v>
      </c>
      <c r="I104" s="217">
        <v>28758.54</v>
      </c>
      <c r="J104" s="139">
        <f t="shared" si="16"/>
        <v>0.5751708</v>
      </c>
      <c r="K104" s="228"/>
      <c r="L104" s="222"/>
      <c r="M104" s="148"/>
      <c r="N104" s="228"/>
      <c r="O104" s="222"/>
      <c r="P104" s="30"/>
    </row>
    <row r="105" spans="1:16" ht="18.75">
      <c r="A105" s="7"/>
      <c r="B105" s="15"/>
      <c r="C105" s="15">
        <v>4270</v>
      </c>
      <c r="D105" s="296" t="s">
        <v>43</v>
      </c>
      <c r="E105" s="213">
        <v>20000</v>
      </c>
      <c r="F105" s="217">
        <v>285.94</v>
      </c>
      <c r="G105" s="104">
        <f t="shared" si="15"/>
        <v>0.014297</v>
      </c>
      <c r="H105" s="213">
        <v>20000</v>
      </c>
      <c r="I105" s="217">
        <v>285.94</v>
      </c>
      <c r="J105" s="139">
        <f t="shared" si="16"/>
        <v>0.014297</v>
      </c>
      <c r="K105" s="228"/>
      <c r="L105" s="222"/>
      <c r="M105" s="148"/>
      <c r="N105" s="228"/>
      <c r="O105" s="222"/>
      <c r="P105" s="30"/>
    </row>
    <row r="106" spans="1:16" ht="18.75">
      <c r="A106" s="7"/>
      <c r="B106" s="15"/>
      <c r="C106" s="15">
        <v>4280</v>
      </c>
      <c r="D106" s="296" t="s">
        <v>102</v>
      </c>
      <c r="E106" s="213">
        <v>220</v>
      </c>
      <c r="F106" s="217">
        <v>160</v>
      </c>
      <c r="G106" s="104">
        <f t="shared" si="15"/>
        <v>0.7272727272727273</v>
      </c>
      <c r="H106" s="213">
        <v>220</v>
      </c>
      <c r="I106" s="217">
        <v>160</v>
      </c>
      <c r="J106" s="139">
        <f t="shared" si="16"/>
        <v>0.7272727272727273</v>
      </c>
      <c r="K106" s="228"/>
      <c r="L106" s="222"/>
      <c r="M106" s="148"/>
      <c r="N106" s="228"/>
      <c r="O106" s="222"/>
      <c r="P106" s="30"/>
    </row>
    <row r="107" spans="1:16" ht="18.75">
      <c r="A107" s="7"/>
      <c r="B107" s="15"/>
      <c r="C107" s="15">
        <v>4300</v>
      </c>
      <c r="D107" s="296" t="s">
        <v>44</v>
      </c>
      <c r="E107" s="213">
        <v>130200</v>
      </c>
      <c r="F107" s="217">
        <v>57425</v>
      </c>
      <c r="G107" s="104">
        <f t="shared" si="15"/>
        <v>0.4410522273425499</v>
      </c>
      <c r="H107" s="213">
        <v>130200</v>
      </c>
      <c r="I107" s="217">
        <v>57425</v>
      </c>
      <c r="J107" s="139">
        <f t="shared" si="16"/>
        <v>0.4410522273425499</v>
      </c>
      <c r="K107" s="228"/>
      <c r="L107" s="222"/>
      <c r="M107" s="148"/>
      <c r="N107" s="228"/>
      <c r="O107" s="222"/>
      <c r="P107" s="30"/>
    </row>
    <row r="108" spans="1:16" ht="18.75">
      <c r="A108" s="7"/>
      <c r="B108" s="15"/>
      <c r="C108" s="15">
        <v>4350</v>
      </c>
      <c r="D108" s="296" t="s">
        <v>104</v>
      </c>
      <c r="E108" s="213">
        <v>5000</v>
      </c>
      <c r="F108" s="217">
        <v>1091.32</v>
      </c>
      <c r="G108" s="104">
        <f t="shared" si="15"/>
        <v>0.21826399999999999</v>
      </c>
      <c r="H108" s="213">
        <v>5000</v>
      </c>
      <c r="I108" s="217">
        <v>1091.32</v>
      </c>
      <c r="J108" s="139">
        <f>I108/H108</f>
        <v>0.21826399999999999</v>
      </c>
      <c r="K108" s="228"/>
      <c r="L108" s="222"/>
      <c r="M108" s="148"/>
      <c r="N108" s="228"/>
      <c r="O108" s="222"/>
      <c r="P108" s="30"/>
    </row>
    <row r="109" spans="1:16" ht="37.5">
      <c r="A109" s="7"/>
      <c r="B109" s="15"/>
      <c r="C109" s="199">
        <v>4360</v>
      </c>
      <c r="D109" s="294" t="s">
        <v>160</v>
      </c>
      <c r="E109" s="213">
        <v>8500</v>
      </c>
      <c r="F109" s="217">
        <v>6041.58</v>
      </c>
      <c r="G109" s="104">
        <f t="shared" si="15"/>
        <v>0.7107741176470588</v>
      </c>
      <c r="H109" s="213">
        <v>8500</v>
      </c>
      <c r="I109" s="217">
        <v>6041.58</v>
      </c>
      <c r="J109" s="139">
        <f aca="true" t="shared" si="17" ref="J109:J118">I109/H109</f>
        <v>0.7107741176470588</v>
      </c>
      <c r="K109" s="228"/>
      <c r="L109" s="222"/>
      <c r="M109" s="148"/>
      <c r="N109" s="228"/>
      <c r="O109" s="222"/>
      <c r="P109" s="30"/>
    </row>
    <row r="110" spans="1:16" ht="37.5">
      <c r="A110" s="7"/>
      <c r="B110" s="15"/>
      <c r="C110" s="199">
        <v>4370</v>
      </c>
      <c r="D110" s="294" t="s">
        <v>159</v>
      </c>
      <c r="E110" s="213">
        <v>17700</v>
      </c>
      <c r="F110" s="217">
        <v>4494.81</v>
      </c>
      <c r="G110" s="104">
        <f t="shared" si="15"/>
        <v>0.2539440677966102</v>
      </c>
      <c r="H110" s="213">
        <v>17700</v>
      </c>
      <c r="I110" s="217">
        <v>4494.81</v>
      </c>
      <c r="J110" s="139">
        <f t="shared" si="17"/>
        <v>0.2539440677966102</v>
      </c>
      <c r="K110" s="228"/>
      <c r="L110" s="222"/>
      <c r="M110" s="148"/>
      <c r="N110" s="228"/>
      <c r="O110" s="222"/>
      <c r="P110" s="30"/>
    </row>
    <row r="111" spans="1:16" ht="37.5">
      <c r="A111" s="7"/>
      <c r="B111" s="15"/>
      <c r="C111" s="199">
        <v>4400</v>
      </c>
      <c r="D111" s="295" t="s">
        <v>182</v>
      </c>
      <c r="E111" s="213">
        <v>5000</v>
      </c>
      <c r="F111" s="217">
        <v>2867.76</v>
      </c>
      <c r="G111" s="104">
        <f t="shared" si="15"/>
        <v>0.5735520000000001</v>
      </c>
      <c r="H111" s="213">
        <v>5000</v>
      </c>
      <c r="I111" s="217">
        <v>2867.76</v>
      </c>
      <c r="J111" s="139">
        <f t="shared" si="17"/>
        <v>0.5735520000000001</v>
      </c>
      <c r="K111" s="228"/>
      <c r="L111" s="222"/>
      <c r="M111" s="148"/>
      <c r="N111" s="228"/>
      <c r="O111" s="222"/>
      <c r="P111" s="30"/>
    </row>
    <row r="112" spans="1:16" ht="18.75">
      <c r="A112" s="7"/>
      <c r="B112" s="15"/>
      <c r="C112" s="15">
        <v>4410</v>
      </c>
      <c r="D112" s="296" t="s">
        <v>55</v>
      </c>
      <c r="E112" s="213">
        <v>12000</v>
      </c>
      <c r="F112" s="217">
        <v>5843.67</v>
      </c>
      <c r="G112" s="104">
        <f t="shared" si="15"/>
        <v>0.48697250000000003</v>
      </c>
      <c r="H112" s="213">
        <v>12000</v>
      </c>
      <c r="I112" s="217">
        <v>5843.67</v>
      </c>
      <c r="J112" s="139">
        <f t="shared" si="17"/>
        <v>0.48697250000000003</v>
      </c>
      <c r="K112" s="228"/>
      <c r="L112" s="222"/>
      <c r="M112" s="148"/>
      <c r="N112" s="228"/>
      <c r="O112" s="222"/>
      <c r="P112" s="30"/>
    </row>
    <row r="113" spans="1:16" ht="18.75">
      <c r="A113" s="7"/>
      <c r="B113" s="15"/>
      <c r="C113" s="15">
        <v>4430</v>
      </c>
      <c r="D113" s="296" t="s">
        <v>53</v>
      </c>
      <c r="E113" s="213">
        <v>5000</v>
      </c>
      <c r="F113" s="217">
        <v>0</v>
      </c>
      <c r="G113" s="104">
        <f t="shared" si="15"/>
        <v>0</v>
      </c>
      <c r="H113" s="213">
        <v>5000</v>
      </c>
      <c r="I113" s="217">
        <v>0</v>
      </c>
      <c r="J113" s="139">
        <f t="shared" si="17"/>
        <v>0</v>
      </c>
      <c r="K113" s="228"/>
      <c r="L113" s="222"/>
      <c r="M113" s="148"/>
      <c r="N113" s="228"/>
      <c r="O113" s="222"/>
      <c r="P113" s="30"/>
    </row>
    <row r="114" spans="1:16" ht="18.75">
      <c r="A114" s="7"/>
      <c r="B114" s="15"/>
      <c r="C114" s="15">
        <v>4440</v>
      </c>
      <c r="D114" s="296" t="s">
        <v>124</v>
      </c>
      <c r="E114" s="213">
        <v>22420</v>
      </c>
      <c r="F114" s="217">
        <v>19600</v>
      </c>
      <c r="G114" s="104">
        <f t="shared" si="15"/>
        <v>0.8742194469223907</v>
      </c>
      <c r="H114" s="213">
        <v>22420</v>
      </c>
      <c r="I114" s="217">
        <v>19600</v>
      </c>
      <c r="J114" s="139">
        <f t="shared" si="17"/>
        <v>0.8742194469223907</v>
      </c>
      <c r="K114" s="228"/>
      <c r="L114" s="222"/>
      <c r="M114" s="148"/>
      <c r="N114" s="228"/>
      <c r="O114" s="222"/>
      <c r="P114" s="30"/>
    </row>
    <row r="115" spans="1:16" ht="18.75">
      <c r="A115" s="7"/>
      <c r="B115" s="15"/>
      <c r="C115" s="15">
        <v>4610</v>
      </c>
      <c r="D115" s="296" t="s">
        <v>183</v>
      </c>
      <c r="E115" s="213">
        <v>3000</v>
      </c>
      <c r="F115" s="217">
        <v>400</v>
      </c>
      <c r="G115" s="104">
        <f t="shared" si="15"/>
        <v>0.13333333333333333</v>
      </c>
      <c r="H115" s="213">
        <v>3000</v>
      </c>
      <c r="I115" s="217">
        <v>400</v>
      </c>
      <c r="J115" s="139">
        <f t="shared" si="17"/>
        <v>0.13333333333333333</v>
      </c>
      <c r="K115" s="228"/>
      <c r="L115" s="222"/>
      <c r="M115" s="148"/>
      <c r="N115" s="228"/>
      <c r="O115" s="222"/>
      <c r="P115" s="30"/>
    </row>
    <row r="116" spans="1:16" ht="37.5">
      <c r="A116" s="7"/>
      <c r="B116" s="15"/>
      <c r="C116" s="292">
        <v>4700</v>
      </c>
      <c r="D116" s="294" t="s">
        <v>161</v>
      </c>
      <c r="E116" s="213">
        <v>12500</v>
      </c>
      <c r="F116" s="217">
        <v>7345</v>
      </c>
      <c r="G116" s="104">
        <f t="shared" si="15"/>
        <v>0.5876</v>
      </c>
      <c r="H116" s="213">
        <v>12500</v>
      </c>
      <c r="I116" s="217">
        <v>7345</v>
      </c>
      <c r="J116" s="139">
        <f t="shared" si="17"/>
        <v>0.5876</v>
      </c>
      <c r="K116" s="228"/>
      <c r="L116" s="222"/>
      <c r="M116" s="148"/>
      <c r="N116" s="228"/>
      <c r="O116" s="222"/>
      <c r="P116" s="30"/>
    </row>
    <row r="117" spans="1:16" ht="37.5">
      <c r="A117" s="7"/>
      <c r="B117" s="15"/>
      <c r="C117" s="292">
        <v>4740</v>
      </c>
      <c r="D117" s="294" t="s">
        <v>157</v>
      </c>
      <c r="E117" s="213">
        <v>7000</v>
      </c>
      <c r="F117" s="217">
        <v>1044.46</v>
      </c>
      <c r="G117" s="104">
        <f t="shared" si="15"/>
        <v>0.14920857142857144</v>
      </c>
      <c r="H117" s="213">
        <v>7000</v>
      </c>
      <c r="I117" s="217">
        <v>1044.46</v>
      </c>
      <c r="J117" s="139">
        <f t="shared" si="17"/>
        <v>0.14920857142857144</v>
      </c>
      <c r="K117" s="228"/>
      <c r="L117" s="222"/>
      <c r="M117" s="148"/>
      <c r="N117" s="228"/>
      <c r="O117" s="222"/>
      <c r="P117" s="30"/>
    </row>
    <row r="118" spans="1:16" ht="37.5">
      <c r="A118" s="7"/>
      <c r="B118" s="15"/>
      <c r="C118" s="292">
        <v>4750</v>
      </c>
      <c r="D118" s="294" t="s">
        <v>158</v>
      </c>
      <c r="E118" s="213">
        <v>22300</v>
      </c>
      <c r="F118" s="217">
        <v>16592.01</v>
      </c>
      <c r="G118" s="104">
        <f t="shared" si="15"/>
        <v>0.7440363228699551</v>
      </c>
      <c r="H118" s="213">
        <v>22300</v>
      </c>
      <c r="I118" s="217">
        <v>16592.01</v>
      </c>
      <c r="J118" s="139">
        <f t="shared" si="17"/>
        <v>0.7440363228699551</v>
      </c>
      <c r="K118" s="228"/>
      <c r="L118" s="222"/>
      <c r="M118" s="148"/>
      <c r="N118" s="228"/>
      <c r="O118" s="222"/>
      <c r="P118" s="30"/>
    </row>
    <row r="119" spans="1:16" ht="18.75">
      <c r="A119" s="7"/>
      <c r="B119" s="15"/>
      <c r="C119" s="15">
        <v>6060</v>
      </c>
      <c r="D119" s="296" t="s">
        <v>184</v>
      </c>
      <c r="E119" s="213">
        <v>10000</v>
      </c>
      <c r="F119" s="217">
        <v>8906</v>
      </c>
      <c r="G119" s="409">
        <f>F119/E119</f>
        <v>0.8906</v>
      </c>
      <c r="H119" s="213">
        <v>10000</v>
      </c>
      <c r="I119" s="217">
        <v>8906</v>
      </c>
      <c r="J119" s="139">
        <f>I119/H119</f>
        <v>0.8906</v>
      </c>
      <c r="K119" s="228"/>
      <c r="L119" s="222"/>
      <c r="M119" s="148"/>
      <c r="N119" s="228"/>
      <c r="O119" s="222"/>
      <c r="P119" s="30"/>
    </row>
    <row r="120" spans="1:16" ht="18.75">
      <c r="A120" s="7"/>
      <c r="B120" s="22">
        <v>75075</v>
      </c>
      <c r="C120" s="22"/>
      <c r="D120" s="22" t="s">
        <v>99</v>
      </c>
      <c r="E120" s="218">
        <f>SUM(E121:E130)</f>
        <v>230000</v>
      </c>
      <c r="F120" s="218">
        <f>SUM(F121:F130)</f>
        <v>157368.62</v>
      </c>
      <c r="G120" s="126">
        <f aca="true" t="shared" si="18" ref="G120:G129">F120/E120</f>
        <v>0.6842113913043478</v>
      </c>
      <c r="H120" s="218">
        <f>SUM(H121:H130)</f>
        <v>230000</v>
      </c>
      <c r="I120" s="218">
        <f>SUM(I121:I130)</f>
        <v>157368.62</v>
      </c>
      <c r="J120" s="86">
        <f aca="true" t="shared" si="19" ref="J120:J139">I120/H120</f>
        <v>0.6842113913043478</v>
      </c>
      <c r="K120" s="236"/>
      <c r="L120" s="218"/>
      <c r="M120" s="147"/>
      <c r="N120" s="236"/>
      <c r="O120" s="218"/>
      <c r="P120" s="23"/>
    </row>
    <row r="121" spans="1:16" ht="18.75">
      <c r="A121" s="7"/>
      <c r="B121" s="15"/>
      <c r="C121" s="15">
        <v>4110</v>
      </c>
      <c r="D121" s="296" t="s">
        <v>49</v>
      </c>
      <c r="E121" s="213">
        <v>3000</v>
      </c>
      <c r="F121" s="217">
        <v>0</v>
      </c>
      <c r="G121" s="104">
        <f t="shared" si="18"/>
        <v>0</v>
      </c>
      <c r="H121" s="213">
        <f>E121</f>
        <v>3000</v>
      </c>
      <c r="I121" s="217">
        <f>F121</f>
        <v>0</v>
      </c>
      <c r="J121" s="139">
        <f t="shared" si="19"/>
        <v>0</v>
      </c>
      <c r="K121" s="228"/>
      <c r="L121" s="222"/>
      <c r="M121" s="148"/>
      <c r="N121" s="228"/>
      <c r="O121" s="222"/>
      <c r="P121" s="30"/>
    </row>
    <row r="122" spans="1:16" ht="18.75">
      <c r="A122" s="7"/>
      <c r="B122" s="15"/>
      <c r="C122" s="15">
        <v>4120</v>
      </c>
      <c r="D122" s="296" t="s">
        <v>50</v>
      </c>
      <c r="E122" s="213">
        <v>1000</v>
      </c>
      <c r="F122" s="217">
        <v>0</v>
      </c>
      <c r="G122" s="104">
        <f t="shared" si="18"/>
        <v>0</v>
      </c>
      <c r="H122" s="213">
        <f aca="true" t="shared" si="20" ref="H122:H130">E122</f>
        <v>1000</v>
      </c>
      <c r="I122" s="217">
        <f aca="true" t="shared" si="21" ref="I122:I130">F122</f>
        <v>0</v>
      </c>
      <c r="J122" s="139">
        <f t="shared" si="19"/>
        <v>0</v>
      </c>
      <c r="K122" s="228"/>
      <c r="L122" s="222"/>
      <c r="M122" s="148"/>
      <c r="N122" s="228"/>
      <c r="O122" s="222"/>
      <c r="P122" s="30"/>
    </row>
    <row r="123" spans="1:16" ht="18.75">
      <c r="A123" s="7"/>
      <c r="B123" s="15"/>
      <c r="C123" s="15">
        <v>4170</v>
      </c>
      <c r="D123" s="296" t="s">
        <v>98</v>
      </c>
      <c r="E123" s="213">
        <v>16000</v>
      </c>
      <c r="F123" s="217">
        <v>7362.25</v>
      </c>
      <c r="G123" s="104">
        <f t="shared" si="18"/>
        <v>0.460140625</v>
      </c>
      <c r="H123" s="213">
        <f t="shared" si="20"/>
        <v>16000</v>
      </c>
      <c r="I123" s="217">
        <f t="shared" si="21"/>
        <v>7362.25</v>
      </c>
      <c r="J123" s="139">
        <f t="shared" si="19"/>
        <v>0.460140625</v>
      </c>
      <c r="K123" s="228"/>
      <c r="L123" s="222"/>
      <c r="M123" s="148"/>
      <c r="N123" s="228"/>
      <c r="O123" s="222"/>
      <c r="P123" s="30"/>
    </row>
    <row r="124" spans="1:16" ht="18.75">
      <c r="A124" s="7"/>
      <c r="B124" s="15"/>
      <c r="C124" s="15">
        <v>4210</v>
      </c>
      <c r="D124" s="296" t="s">
        <v>42</v>
      </c>
      <c r="E124" s="213">
        <v>47000</v>
      </c>
      <c r="F124" s="217">
        <v>34416.6</v>
      </c>
      <c r="G124" s="104">
        <f t="shared" si="18"/>
        <v>0.732268085106383</v>
      </c>
      <c r="H124" s="213">
        <f t="shared" si="20"/>
        <v>47000</v>
      </c>
      <c r="I124" s="217">
        <f t="shared" si="21"/>
        <v>34416.6</v>
      </c>
      <c r="J124" s="139">
        <f t="shared" si="19"/>
        <v>0.732268085106383</v>
      </c>
      <c r="K124" s="228"/>
      <c r="L124" s="222"/>
      <c r="M124" s="148"/>
      <c r="N124" s="228"/>
      <c r="O124" s="222"/>
      <c r="P124" s="30"/>
    </row>
    <row r="125" spans="1:16" ht="18.75">
      <c r="A125" s="7"/>
      <c r="B125" s="15"/>
      <c r="C125" s="15">
        <v>4260</v>
      </c>
      <c r="D125" s="296" t="s">
        <v>52</v>
      </c>
      <c r="E125" s="213">
        <v>500</v>
      </c>
      <c r="F125" s="217">
        <v>109.97</v>
      </c>
      <c r="G125" s="104">
        <f t="shared" si="18"/>
        <v>0.21994</v>
      </c>
      <c r="H125" s="213">
        <f t="shared" si="20"/>
        <v>500</v>
      </c>
      <c r="I125" s="217">
        <f t="shared" si="21"/>
        <v>109.97</v>
      </c>
      <c r="J125" s="139">
        <f t="shared" si="19"/>
        <v>0.21994</v>
      </c>
      <c r="K125" s="228"/>
      <c r="L125" s="222"/>
      <c r="M125" s="148"/>
      <c r="N125" s="228"/>
      <c r="O125" s="222"/>
      <c r="P125" s="30"/>
    </row>
    <row r="126" spans="1:16" ht="18.75">
      <c r="A126" s="7"/>
      <c r="B126" s="15"/>
      <c r="C126" s="15">
        <v>4280</v>
      </c>
      <c r="D126" s="296" t="s">
        <v>102</v>
      </c>
      <c r="E126" s="213">
        <v>1000</v>
      </c>
      <c r="F126" s="217">
        <v>0</v>
      </c>
      <c r="G126" s="104">
        <f t="shared" si="18"/>
        <v>0</v>
      </c>
      <c r="H126" s="213">
        <f t="shared" si="20"/>
        <v>1000</v>
      </c>
      <c r="I126" s="217">
        <f t="shared" si="21"/>
        <v>0</v>
      </c>
      <c r="J126" s="139">
        <f t="shared" si="19"/>
        <v>0</v>
      </c>
      <c r="K126" s="228"/>
      <c r="L126" s="222"/>
      <c r="M126" s="148"/>
      <c r="N126" s="228"/>
      <c r="O126" s="222"/>
      <c r="P126" s="30"/>
    </row>
    <row r="127" spans="1:16" ht="18.75">
      <c r="A127" s="7"/>
      <c r="B127" s="15"/>
      <c r="C127" s="15">
        <v>4300</v>
      </c>
      <c r="D127" s="296" t="s">
        <v>44</v>
      </c>
      <c r="E127" s="213">
        <v>141000</v>
      </c>
      <c r="F127" s="217">
        <v>100119.8</v>
      </c>
      <c r="G127" s="104">
        <f t="shared" si="18"/>
        <v>0.7100695035460993</v>
      </c>
      <c r="H127" s="213">
        <f t="shared" si="20"/>
        <v>141000</v>
      </c>
      <c r="I127" s="217">
        <f t="shared" si="21"/>
        <v>100119.8</v>
      </c>
      <c r="J127" s="139">
        <f t="shared" si="19"/>
        <v>0.7100695035460993</v>
      </c>
      <c r="K127" s="228"/>
      <c r="L127" s="222"/>
      <c r="M127" s="148"/>
      <c r="N127" s="228"/>
      <c r="O127" s="222"/>
      <c r="P127" s="30"/>
    </row>
    <row r="128" spans="1:16" ht="18.75">
      <c r="A128" s="7"/>
      <c r="B128" s="15"/>
      <c r="C128" s="15">
        <v>4380</v>
      </c>
      <c r="D128" s="296" t="s">
        <v>225</v>
      </c>
      <c r="E128" s="213">
        <v>500</v>
      </c>
      <c r="F128" s="217">
        <v>0</v>
      </c>
      <c r="G128" s="104">
        <f t="shared" si="18"/>
        <v>0</v>
      </c>
      <c r="H128" s="213">
        <f t="shared" si="20"/>
        <v>500</v>
      </c>
      <c r="I128" s="217">
        <f t="shared" si="21"/>
        <v>0</v>
      </c>
      <c r="J128" s="139">
        <f t="shared" si="19"/>
        <v>0</v>
      </c>
      <c r="K128" s="228"/>
      <c r="L128" s="222"/>
      <c r="M128" s="148"/>
      <c r="N128" s="228"/>
      <c r="O128" s="222"/>
      <c r="P128" s="30"/>
    </row>
    <row r="129" spans="1:16" ht="18.75">
      <c r="A129" s="7"/>
      <c r="B129" s="15"/>
      <c r="C129" s="15">
        <v>4430</v>
      </c>
      <c r="D129" s="296" t="s">
        <v>53</v>
      </c>
      <c r="E129" s="213">
        <v>7000</v>
      </c>
      <c r="F129" s="217">
        <v>5600</v>
      </c>
      <c r="G129" s="104">
        <f t="shared" si="18"/>
        <v>0.8</v>
      </c>
      <c r="H129" s="213">
        <f t="shared" si="20"/>
        <v>7000</v>
      </c>
      <c r="I129" s="217">
        <f t="shared" si="21"/>
        <v>5600</v>
      </c>
      <c r="J129" s="139">
        <f t="shared" si="19"/>
        <v>0.8</v>
      </c>
      <c r="K129" s="228"/>
      <c r="L129" s="222"/>
      <c r="M129" s="148"/>
      <c r="N129" s="228"/>
      <c r="O129" s="222"/>
      <c r="P129" s="30"/>
    </row>
    <row r="130" spans="1:16" ht="37.5">
      <c r="A130" s="7"/>
      <c r="B130" s="15"/>
      <c r="C130" s="292">
        <v>4750</v>
      </c>
      <c r="D130" s="295" t="s">
        <v>158</v>
      </c>
      <c r="E130" s="213">
        <v>13000</v>
      </c>
      <c r="F130" s="217">
        <v>9760</v>
      </c>
      <c r="G130" s="409">
        <f>F130/E130</f>
        <v>0.7507692307692307</v>
      </c>
      <c r="H130" s="213">
        <f t="shared" si="20"/>
        <v>13000</v>
      </c>
      <c r="I130" s="217">
        <f t="shared" si="21"/>
        <v>9760</v>
      </c>
      <c r="J130" s="139">
        <f t="shared" si="19"/>
        <v>0.7507692307692307</v>
      </c>
      <c r="K130" s="228"/>
      <c r="L130" s="222"/>
      <c r="M130" s="148"/>
      <c r="N130" s="228"/>
      <c r="O130" s="222"/>
      <c r="P130" s="30"/>
    </row>
    <row r="131" spans="1:16" ht="18.75">
      <c r="A131" s="7"/>
      <c r="B131" s="22">
        <v>75095</v>
      </c>
      <c r="C131" s="22"/>
      <c r="D131" s="22" t="s">
        <v>4</v>
      </c>
      <c r="E131" s="218">
        <f>SUM(E132:E139)</f>
        <v>95000</v>
      </c>
      <c r="F131" s="218">
        <f>SUM(F132:F139)</f>
        <v>36187.05</v>
      </c>
      <c r="G131" s="126">
        <f aca="true" t="shared" si="22" ref="G131:G138">F131/E131</f>
        <v>0.3809163157894737</v>
      </c>
      <c r="H131" s="218">
        <f>SUM(H132:H139)</f>
        <v>95000</v>
      </c>
      <c r="I131" s="218">
        <f>SUM(I132:I139)</f>
        <v>36187.05</v>
      </c>
      <c r="J131" s="86">
        <f t="shared" si="19"/>
        <v>0.3809163157894737</v>
      </c>
      <c r="K131" s="236"/>
      <c r="L131" s="218"/>
      <c r="M131" s="147"/>
      <c r="N131" s="236"/>
      <c r="O131" s="218"/>
      <c r="P131" s="23"/>
    </row>
    <row r="132" spans="1:16" ht="18.75">
      <c r="A132" s="7"/>
      <c r="B132" s="15"/>
      <c r="C132" s="15">
        <v>3030</v>
      </c>
      <c r="D132" s="296" t="s">
        <v>57</v>
      </c>
      <c r="E132" s="213">
        <v>20000</v>
      </c>
      <c r="F132" s="217">
        <v>7935</v>
      </c>
      <c r="G132" s="104">
        <f t="shared" si="22"/>
        <v>0.39675</v>
      </c>
      <c r="H132" s="213">
        <f aca="true" t="shared" si="23" ref="H132:I139">E132</f>
        <v>20000</v>
      </c>
      <c r="I132" s="217">
        <f t="shared" si="23"/>
        <v>7935</v>
      </c>
      <c r="J132" s="139">
        <f t="shared" si="19"/>
        <v>0.39675</v>
      </c>
      <c r="K132" s="228"/>
      <c r="L132" s="222"/>
      <c r="M132" s="148"/>
      <c r="N132" s="228"/>
      <c r="O132" s="222"/>
      <c r="P132" s="30"/>
    </row>
    <row r="133" spans="1:16" ht="18.75">
      <c r="A133" s="7"/>
      <c r="B133" s="15"/>
      <c r="C133" s="15">
        <v>4110</v>
      </c>
      <c r="D133" s="296" t="s">
        <v>49</v>
      </c>
      <c r="E133" s="213">
        <v>1500</v>
      </c>
      <c r="F133" s="217">
        <v>104.58</v>
      </c>
      <c r="G133" s="104">
        <f t="shared" si="22"/>
        <v>0.06972</v>
      </c>
      <c r="H133" s="213">
        <f t="shared" si="23"/>
        <v>1500</v>
      </c>
      <c r="I133" s="217">
        <f t="shared" si="23"/>
        <v>104.58</v>
      </c>
      <c r="J133" s="139">
        <f t="shared" si="19"/>
        <v>0.06972</v>
      </c>
      <c r="K133" s="228"/>
      <c r="L133" s="222"/>
      <c r="M133" s="148"/>
      <c r="N133" s="228"/>
      <c r="O133" s="222"/>
      <c r="P133" s="30"/>
    </row>
    <row r="134" spans="1:16" ht="18.75">
      <c r="A134" s="7"/>
      <c r="B134" s="15"/>
      <c r="C134" s="15">
        <v>4120</v>
      </c>
      <c r="D134" s="296" t="s">
        <v>50</v>
      </c>
      <c r="E134" s="213">
        <v>500</v>
      </c>
      <c r="F134" s="217">
        <v>0</v>
      </c>
      <c r="G134" s="104">
        <f t="shared" si="22"/>
        <v>0</v>
      </c>
      <c r="H134" s="213">
        <f t="shared" si="23"/>
        <v>500</v>
      </c>
      <c r="I134" s="217">
        <f t="shared" si="23"/>
        <v>0</v>
      </c>
      <c r="J134" s="139">
        <f t="shared" si="19"/>
        <v>0</v>
      </c>
      <c r="K134" s="228"/>
      <c r="L134" s="222"/>
      <c r="M134" s="148"/>
      <c r="N134" s="228"/>
      <c r="O134" s="222"/>
      <c r="P134" s="30"/>
    </row>
    <row r="135" spans="1:16" ht="18.75">
      <c r="A135" s="7"/>
      <c r="B135" s="15"/>
      <c r="C135" s="15">
        <v>4170</v>
      </c>
      <c r="D135" s="296" t="s">
        <v>98</v>
      </c>
      <c r="E135" s="213">
        <v>8000</v>
      </c>
      <c r="F135" s="217">
        <v>934.57</v>
      </c>
      <c r="G135" s="104">
        <f t="shared" si="22"/>
        <v>0.11682125</v>
      </c>
      <c r="H135" s="213">
        <f t="shared" si="23"/>
        <v>8000</v>
      </c>
      <c r="I135" s="217">
        <f t="shared" si="23"/>
        <v>934.57</v>
      </c>
      <c r="J135" s="139">
        <f t="shared" si="19"/>
        <v>0.11682125</v>
      </c>
      <c r="K135" s="228"/>
      <c r="L135" s="222"/>
      <c r="M135" s="148"/>
      <c r="N135" s="228"/>
      <c r="O135" s="222"/>
      <c r="P135" s="30"/>
    </row>
    <row r="136" spans="1:16" ht="18.75">
      <c r="A136" s="7"/>
      <c r="B136" s="15"/>
      <c r="C136" s="15">
        <v>4210</v>
      </c>
      <c r="D136" s="296" t="s">
        <v>42</v>
      </c>
      <c r="E136" s="213">
        <v>14000</v>
      </c>
      <c r="F136" s="217">
        <v>5402.42</v>
      </c>
      <c r="G136" s="104">
        <f t="shared" si="22"/>
        <v>0.3858871428571429</v>
      </c>
      <c r="H136" s="213">
        <f t="shared" si="23"/>
        <v>14000</v>
      </c>
      <c r="I136" s="217">
        <f t="shared" si="23"/>
        <v>5402.42</v>
      </c>
      <c r="J136" s="139">
        <f t="shared" si="19"/>
        <v>0.3858871428571429</v>
      </c>
      <c r="K136" s="228"/>
      <c r="L136" s="222"/>
      <c r="M136" s="148"/>
      <c r="N136" s="228"/>
      <c r="O136" s="222"/>
      <c r="P136" s="30"/>
    </row>
    <row r="137" spans="1:16" ht="18.75">
      <c r="A137" s="7"/>
      <c r="B137" s="15"/>
      <c r="C137" s="15">
        <v>4270</v>
      </c>
      <c r="D137" s="296" t="s">
        <v>43</v>
      </c>
      <c r="E137" s="213">
        <v>7000</v>
      </c>
      <c r="F137" s="217">
        <v>2045.2</v>
      </c>
      <c r="G137" s="104">
        <f t="shared" si="22"/>
        <v>0.2921714285714286</v>
      </c>
      <c r="H137" s="213">
        <f t="shared" si="23"/>
        <v>7000</v>
      </c>
      <c r="I137" s="217">
        <f t="shared" si="23"/>
        <v>2045.2</v>
      </c>
      <c r="J137" s="139">
        <f t="shared" si="19"/>
        <v>0.2921714285714286</v>
      </c>
      <c r="K137" s="228"/>
      <c r="L137" s="222"/>
      <c r="M137" s="148"/>
      <c r="N137" s="228"/>
      <c r="O137" s="222"/>
      <c r="P137" s="30"/>
    </row>
    <row r="138" spans="1:16" ht="18.75">
      <c r="A138" s="7"/>
      <c r="B138" s="15"/>
      <c r="C138" s="15">
        <v>4300</v>
      </c>
      <c r="D138" s="296" t="s">
        <v>44</v>
      </c>
      <c r="E138" s="213">
        <v>12000</v>
      </c>
      <c r="F138" s="217">
        <v>5310.88</v>
      </c>
      <c r="G138" s="104">
        <f t="shared" si="22"/>
        <v>0.4425733333333333</v>
      </c>
      <c r="H138" s="213">
        <f t="shared" si="23"/>
        <v>12000</v>
      </c>
      <c r="I138" s="217">
        <f t="shared" si="23"/>
        <v>5310.88</v>
      </c>
      <c r="J138" s="139">
        <f t="shared" si="19"/>
        <v>0.4425733333333333</v>
      </c>
      <c r="K138" s="228"/>
      <c r="L138" s="222"/>
      <c r="M138" s="148"/>
      <c r="N138" s="228"/>
      <c r="O138" s="222"/>
      <c r="P138" s="30"/>
    </row>
    <row r="139" spans="1:16" ht="19.5" thickBot="1">
      <c r="A139" s="7"/>
      <c r="B139" s="15"/>
      <c r="C139" s="15">
        <v>4430</v>
      </c>
      <c r="D139" s="296" t="s">
        <v>53</v>
      </c>
      <c r="E139" s="213">
        <v>32000</v>
      </c>
      <c r="F139" s="217">
        <v>14454.4</v>
      </c>
      <c r="G139" s="104">
        <f>F139/E139</f>
        <v>0.4517</v>
      </c>
      <c r="H139" s="213">
        <f t="shared" si="23"/>
        <v>32000</v>
      </c>
      <c r="I139" s="217">
        <f t="shared" si="23"/>
        <v>14454.4</v>
      </c>
      <c r="J139" s="139">
        <f t="shared" si="19"/>
        <v>0.4517</v>
      </c>
      <c r="K139" s="228"/>
      <c r="L139" s="222"/>
      <c r="M139" s="148"/>
      <c r="N139" s="228"/>
      <c r="O139" s="222"/>
      <c r="P139" s="30"/>
    </row>
    <row r="140" spans="1:16" ht="57" thickBot="1">
      <c r="A140" s="203">
        <v>751</v>
      </c>
      <c r="B140" s="12"/>
      <c r="C140" s="12"/>
      <c r="D140" s="195" t="s">
        <v>109</v>
      </c>
      <c r="E140" s="215">
        <f>E141+E144</f>
        <v>13470</v>
      </c>
      <c r="F140" s="215">
        <f>F141+F144</f>
        <v>7051.33</v>
      </c>
      <c r="G140" s="92">
        <f>F140/E140</f>
        <v>0.5234840386043058</v>
      </c>
      <c r="H140" s="215"/>
      <c r="I140" s="215"/>
      <c r="J140" s="197"/>
      <c r="K140" s="237">
        <f>K144+K141</f>
        <v>13470</v>
      </c>
      <c r="L140" s="237">
        <f>L144+L141</f>
        <v>7051.33</v>
      </c>
      <c r="M140" s="150">
        <f aca="true" t="shared" si="24" ref="M140:M149">L140/K140</f>
        <v>0.5234840386043058</v>
      </c>
      <c r="N140" s="227"/>
      <c r="O140" s="215"/>
      <c r="P140" s="14"/>
    </row>
    <row r="141" spans="1:16" ht="37.5">
      <c r="A141" s="55"/>
      <c r="B141" s="199">
        <v>75101</v>
      </c>
      <c r="C141" s="15"/>
      <c r="D141" s="44" t="s">
        <v>125</v>
      </c>
      <c r="E141" s="211">
        <f>SUM(E142:E143)</f>
        <v>1020</v>
      </c>
      <c r="F141" s="211">
        <f>SUM(F142:F143)</f>
        <v>100</v>
      </c>
      <c r="G141" s="104">
        <f>F141/E141</f>
        <v>0.09803921568627451</v>
      </c>
      <c r="H141" s="212"/>
      <c r="I141" s="211"/>
      <c r="J141" s="183"/>
      <c r="K141" s="212">
        <f>SUM(K142:K143)</f>
        <v>1020</v>
      </c>
      <c r="L141" s="211">
        <f>SUM(L142:L143)</f>
        <v>100</v>
      </c>
      <c r="M141" s="130">
        <f t="shared" si="24"/>
        <v>0.09803921568627451</v>
      </c>
      <c r="N141" s="225"/>
      <c r="O141" s="211"/>
      <c r="P141" s="26"/>
    </row>
    <row r="142" spans="1:16" ht="18.75">
      <c r="A142" s="50"/>
      <c r="B142" s="15"/>
      <c r="C142" s="15">
        <v>4210</v>
      </c>
      <c r="D142" s="296" t="s">
        <v>42</v>
      </c>
      <c r="E142" s="213">
        <v>600</v>
      </c>
      <c r="F142" s="217">
        <v>0</v>
      </c>
      <c r="G142" s="104">
        <f>F142/E142</f>
        <v>0</v>
      </c>
      <c r="H142" s="217"/>
      <c r="I142" s="222"/>
      <c r="J142" s="183"/>
      <c r="K142" s="214">
        <f>E142</f>
        <v>600</v>
      </c>
      <c r="L142" s="217">
        <f>F142</f>
        <v>0</v>
      </c>
      <c r="M142" s="165">
        <f t="shared" si="24"/>
        <v>0</v>
      </c>
      <c r="N142" s="228"/>
      <c r="O142" s="222"/>
      <c r="P142" s="30"/>
    </row>
    <row r="143" spans="1:16" ht="18.75">
      <c r="A143" s="50"/>
      <c r="B143" s="383"/>
      <c r="C143" s="383">
        <v>4300</v>
      </c>
      <c r="D143" s="433" t="s">
        <v>44</v>
      </c>
      <c r="E143" s="386">
        <v>420</v>
      </c>
      <c r="F143" s="476">
        <v>100</v>
      </c>
      <c r="G143" s="409">
        <f>F143/E143</f>
        <v>0.23809523809523808</v>
      </c>
      <c r="H143" s="476"/>
      <c r="I143" s="477"/>
      <c r="J143" s="291"/>
      <c r="K143" s="387">
        <f>E143</f>
        <v>420</v>
      </c>
      <c r="L143" s="476">
        <f>F143</f>
        <v>100</v>
      </c>
      <c r="M143" s="498">
        <f t="shared" si="24"/>
        <v>0.23809523809523808</v>
      </c>
      <c r="N143" s="478"/>
      <c r="O143" s="477"/>
      <c r="P143" s="480"/>
    </row>
    <row r="144" spans="1:16" ht="24.75" customHeight="1">
      <c r="A144" s="55"/>
      <c r="B144" s="199">
        <v>75107</v>
      </c>
      <c r="C144" s="15"/>
      <c r="D144" s="292" t="s">
        <v>251</v>
      </c>
      <c r="E144" s="211">
        <f>SUM(E145:E155)</f>
        <v>12450</v>
      </c>
      <c r="F144" s="211">
        <f>SUM(F145:F155)</f>
        <v>6951.33</v>
      </c>
      <c r="G144" s="126">
        <f aca="true" t="shared" si="25" ref="G144:G154">F144/E144</f>
        <v>0.5583397590361445</v>
      </c>
      <c r="H144" s="212"/>
      <c r="I144" s="211"/>
      <c r="J144" s="183"/>
      <c r="K144" s="212">
        <f>SUM(K145:K155)</f>
        <v>12450</v>
      </c>
      <c r="L144" s="212">
        <f>SUM(L145:L155)</f>
        <v>6951.33</v>
      </c>
      <c r="M144" s="130">
        <f t="shared" si="24"/>
        <v>0.5583397590361445</v>
      </c>
      <c r="N144" s="225"/>
      <c r="O144" s="211"/>
      <c r="P144" s="26"/>
    </row>
    <row r="145" spans="1:16" ht="24.75" customHeight="1">
      <c r="A145" s="55"/>
      <c r="B145" s="199"/>
      <c r="C145" s="15">
        <v>3030</v>
      </c>
      <c r="D145" s="296" t="s">
        <v>57</v>
      </c>
      <c r="E145" s="213">
        <v>6750</v>
      </c>
      <c r="F145" s="213">
        <v>3375</v>
      </c>
      <c r="G145" s="104">
        <f t="shared" si="25"/>
        <v>0.5</v>
      </c>
      <c r="H145" s="214"/>
      <c r="I145" s="213"/>
      <c r="J145" s="187"/>
      <c r="K145" s="213">
        <v>6750</v>
      </c>
      <c r="L145" s="213">
        <v>3375</v>
      </c>
      <c r="M145" s="472">
        <f t="shared" si="24"/>
        <v>0.5</v>
      </c>
      <c r="N145" s="253"/>
      <c r="O145" s="211"/>
      <c r="P145" s="26"/>
    </row>
    <row r="146" spans="1:16" ht="24.75" customHeight="1">
      <c r="A146" s="55"/>
      <c r="B146" s="199"/>
      <c r="C146" s="15">
        <v>4110</v>
      </c>
      <c r="D146" s="296" t="s">
        <v>49</v>
      </c>
      <c r="E146" s="213">
        <v>124.99</v>
      </c>
      <c r="F146" s="213">
        <v>0</v>
      </c>
      <c r="G146" s="104">
        <f t="shared" si="25"/>
        <v>0</v>
      </c>
      <c r="H146" s="214"/>
      <c r="I146" s="213"/>
      <c r="J146" s="187"/>
      <c r="K146" s="213">
        <v>124.99</v>
      </c>
      <c r="L146" s="213">
        <v>0</v>
      </c>
      <c r="M146" s="472">
        <f t="shared" si="24"/>
        <v>0</v>
      </c>
      <c r="N146" s="253"/>
      <c r="O146" s="211"/>
      <c r="P146" s="26"/>
    </row>
    <row r="147" spans="1:16" ht="24.75" customHeight="1">
      <c r="A147" s="55"/>
      <c r="B147" s="199"/>
      <c r="C147" s="15">
        <v>4120</v>
      </c>
      <c r="D147" s="296" t="s">
        <v>50</v>
      </c>
      <c r="E147" s="213">
        <v>17.51</v>
      </c>
      <c r="F147" s="213">
        <v>0</v>
      </c>
      <c r="G147" s="104">
        <f t="shared" si="25"/>
        <v>0</v>
      </c>
      <c r="H147" s="214"/>
      <c r="I147" s="213"/>
      <c r="J147" s="187"/>
      <c r="K147" s="213">
        <v>17.51</v>
      </c>
      <c r="L147" s="213">
        <v>0</v>
      </c>
      <c r="M147" s="472">
        <f t="shared" si="24"/>
        <v>0</v>
      </c>
      <c r="N147" s="253"/>
      <c r="O147" s="211"/>
      <c r="P147" s="26"/>
    </row>
    <row r="148" spans="1:16" ht="18.75">
      <c r="A148" s="55"/>
      <c r="B148" s="15"/>
      <c r="C148" s="15">
        <v>4170</v>
      </c>
      <c r="D148" s="296" t="s">
        <v>98</v>
      </c>
      <c r="E148" s="213">
        <v>1042.5</v>
      </c>
      <c r="F148" s="213">
        <v>596.33</v>
      </c>
      <c r="G148" s="104">
        <f t="shared" si="25"/>
        <v>0.5720191846522782</v>
      </c>
      <c r="H148" s="217"/>
      <c r="I148" s="222"/>
      <c r="J148" s="183"/>
      <c r="K148" s="213">
        <v>1042.5</v>
      </c>
      <c r="L148" s="213">
        <v>596.33</v>
      </c>
      <c r="M148" s="472">
        <f t="shared" si="24"/>
        <v>0.5720191846522782</v>
      </c>
      <c r="N148" s="339"/>
      <c r="O148" s="222"/>
      <c r="P148" s="30"/>
    </row>
    <row r="149" spans="1:16" ht="18.75">
      <c r="A149" s="7"/>
      <c r="B149" s="15"/>
      <c r="C149" s="15">
        <v>4210</v>
      </c>
      <c r="D149" s="296" t="s">
        <v>42</v>
      </c>
      <c r="E149" s="213">
        <v>2194</v>
      </c>
      <c r="F149" s="213">
        <v>1594</v>
      </c>
      <c r="G149" s="104">
        <f t="shared" si="25"/>
        <v>0.7265268915223336</v>
      </c>
      <c r="H149" s="217"/>
      <c r="I149" s="222"/>
      <c r="J149" s="187"/>
      <c r="K149" s="213">
        <v>2194</v>
      </c>
      <c r="L149" s="213">
        <v>1594</v>
      </c>
      <c r="M149" s="472">
        <f t="shared" si="24"/>
        <v>0.7265268915223336</v>
      </c>
      <c r="N149" s="339"/>
      <c r="O149" s="222"/>
      <c r="P149" s="30"/>
    </row>
    <row r="150" spans="1:16" ht="18.75">
      <c r="A150" s="50"/>
      <c r="B150" s="15"/>
      <c r="C150" s="15">
        <v>4260</v>
      </c>
      <c r="D150" s="296" t="s">
        <v>52</v>
      </c>
      <c r="E150" s="213">
        <v>400</v>
      </c>
      <c r="F150" s="213">
        <v>200</v>
      </c>
      <c r="G150" s="104">
        <f t="shared" si="25"/>
        <v>0.5</v>
      </c>
      <c r="H150" s="217"/>
      <c r="I150" s="222"/>
      <c r="J150" s="187"/>
      <c r="K150" s="213">
        <v>400</v>
      </c>
      <c r="L150" s="213">
        <v>200</v>
      </c>
      <c r="M150" s="472"/>
      <c r="N150" s="339"/>
      <c r="O150" s="222"/>
      <c r="P150" s="30"/>
    </row>
    <row r="151" spans="1:16" ht="18.75">
      <c r="A151" s="50"/>
      <c r="B151" s="15"/>
      <c r="C151" s="15">
        <v>4300</v>
      </c>
      <c r="D151" s="296" t="s">
        <v>44</v>
      </c>
      <c r="E151" s="213">
        <v>531</v>
      </c>
      <c r="F151" s="213">
        <v>296</v>
      </c>
      <c r="G151" s="104">
        <f t="shared" si="25"/>
        <v>0.5574387947269304</v>
      </c>
      <c r="H151" s="217"/>
      <c r="I151" s="222"/>
      <c r="J151" s="183"/>
      <c r="K151" s="213">
        <v>531</v>
      </c>
      <c r="L151" s="213">
        <v>296</v>
      </c>
      <c r="M151" s="472">
        <f>L151/K151</f>
        <v>0.5574387947269304</v>
      </c>
      <c r="N151" s="339"/>
      <c r="O151" s="222"/>
      <c r="P151" s="30"/>
    </row>
    <row r="152" spans="1:16" ht="37.5">
      <c r="A152" s="50"/>
      <c r="B152" s="15"/>
      <c r="C152" s="15">
        <v>4370</v>
      </c>
      <c r="D152" s="294" t="s">
        <v>159</v>
      </c>
      <c r="E152" s="213">
        <v>300</v>
      </c>
      <c r="F152" s="213">
        <v>200</v>
      </c>
      <c r="G152" s="104">
        <f t="shared" si="25"/>
        <v>0.6666666666666666</v>
      </c>
      <c r="H152" s="217"/>
      <c r="I152" s="222"/>
      <c r="J152" s="183"/>
      <c r="K152" s="213">
        <v>300</v>
      </c>
      <c r="L152" s="213">
        <v>200</v>
      </c>
      <c r="M152" s="472">
        <f>L152/K152</f>
        <v>0.6666666666666666</v>
      </c>
      <c r="N152" s="339"/>
      <c r="O152" s="222"/>
      <c r="P152" s="30"/>
    </row>
    <row r="153" spans="1:16" ht="18.75">
      <c r="A153" s="50"/>
      <c r="B153" s="15"/>
      <c r="C153" s="15">
        <v>4410</v>
      </c>
      <c r="D153" s="296" t="s">
        <v>55</v>
      </c>
      <c r="E153" s="213">
        <v>64.88</v>
      </c>
      <c r="F153" s="213">
        <v>64.88</v>
      </c>
      <c r="G153" s="104">
        <f t="shared" si="25"/>
        <v>1</v>
      </c>
      <c r="H153" s="217"/>
      <c r="I153" s="222"/>
      <c r="J153" s="183"/>
      <c r="K153" s="213">
        <v>64.88</v>
      </c>
      <c r="L153" s="213">
        <v>64.88</v>
      </c>
      <c r="M153" s="472">
        <f>L153/K153</f>
        <v>1</v>
      </c>
      <c r="N153" s="339"/>
      <c r="O153" s="222"/>
      <c r="P153" s="30"/>
    </row>
    <row r="154" spans="1:16" ht="37.5">
      <c r="A154" s="50"/>
      <c r="B154" s="15"/>
      <c r="C154" s="199">
        <v>4740</v>
      </c>
      <c r="D154" s="294" t="s">
        <v>157</v>
      </c>
      <c r="E154" s="213">
        <v>355.12</v>
      </c>
      <c r="F154" s="213">
        <v>205.12</v>
      </c>
      <c r="G154" s="104">
        <f t="shared" si="25"/>
        <v>0.5776075692723587</v>
      </c>
      <c r="H154" s="217"/>
      <c r="I154" s="222"/>
      <c r="J154" s="183"/>
      <c r="K154" s="213">
        <v>355.12</v>
      </c>
      <c r="L154" s="213">
        <v>205.12</v>
      </c>
      <c r="M154" s="472">
        <f>L154/K154</f>
        <v>0.5776075692723587</v>
      </c>
      <c r="N154" s="339"/>
      <c r="O154" s="222"/>
      <c r="P154" s="30"/>
    </row>
    <row r="155" spans="1:16" ht="38.25" thickBot="1">
      <c r="A155" s="50"/>
      <c r="B155" s="15"/>
      <c r="C155" s="292">
        <v>4750</v>
      </c>
      <c r="D155" s="295" t="s">
        <v>158</v>
      </c>
      <c r="E155" s="213">
        <v>670</v>
      </c>
      <c r="F155" s="213">
        <v>420</v>
      </c>
      <c r="G155" s="104">
        <f aca="true" t="shared" si="26" ref="G155:G160">F155/E155</f>
        <v>0.6268656716417911</v>
      </c>
      <c r="H155" s="217"/>
      <c r="I155" s="222"/>
      <c r="J155" s="183"/>
      <c r="K155" s="213">
        <v>670</v>
      </c>
      <c r="L155" s="213">
        <v>420</v>
      </c>
      <c r="M155" s="472">
        <f>L155/K155</f>
        <v>0.6268656716417911</v>
      </c>
      <c r="N155" s="473"/>
      <c r="O155" s="222"/>
      <c r="P155" s="30"/>
    </row>
    <row r="156" spans="1:16" ht="38.25" thickBot="1">
      <c r="A156" s="203">
        <v>754</v>
      </c>
      <c r="B156" s="12"/>
      <c r="C156" s="12"/>
      <c r="D156" s="195" t="s">
        <v>126</v>
      </c>
      <c r="E156" s="215">
        <f>E157+E159+E161+E181</f>
        <v>336200</v>
      </c>
      <c r="F156" s="215">
        <f>F157+F159+F161+F181</f>
        <v>165914.83000000002</v>
      </c>
      <c r="G156" s="92">
        <f t="shared" si="26"/>
        <v>0.4935003866745985</v>
      </c>
      <c r="H156" s="215">
        <f>H157+H159+H161+H181</f>
        <v>336200</v>
      </c>
      <c r="I156" s="215">
        <f>I157+I159+I161+I181</f>
        <v>165914.83000000002</v>
      </c>
      <c r="J156" s="93">
        <f aca="true" t="shared" si="27" ref="J156:J162">I156/H156</f>
        <v>0.4935003866745985</v>
      </c>
      <c r="K156" s="227"/>
      <c r="L156" s="215"/>
      <c r="M156" s="150"/>
      <c r="N156" s="227"/>
      <c r="O156" s="215"/>
      <c r="P156" s="14"/>
    </row>
    <row r="157" spans="1:16" ht="18.75">
      <c r="A157" s="348"/>
      <c r="B157" s="194">
        <v>75405</v>
      </c>
      <c r="C157" s="194"/>
      <c r="D157" s="194" t="s">
        <v>106</v>
      </c>
      <c r="E157" s="219">
        <f>E158</f>
        <v>4700</v>
      </c>
      <c r="F157" s="235">
        <f>F158</f>
        <v>930</v>
      </c>
      <c r="G157" s="126">
        <f t="shared" si="26"/>
        <v>0.19787234042553192</v>
      </c>
      <c r="H157" s="235">
        <f>H158</f>
        <v>4700</v>
      </c>
      <c r="I157" s="235">
        <f>I158</f>
        <v>930</v>
      </c>
      <c r="J157" s="323">
        <f t="shared" si="27"/>
        <v>0.19787234042553192</v>
      </c>
      <c r="K157" s="349"/>
      <c r="L157" s="350"/>
      <c r="M157" s="351"/>
      <c r="N157" s="349"/>
      <c r="O157" s="350"/>
      <c r="P157" s="352"/>
    </row>
    <row r="158" spans="1:16" ht="75">
      <c r="A158" s="5"/>
      <c r="B158" s="418"/>
      <c r="C158" s="384">
        <v>6620</v>
      </c>
      <c r="D158" s="385" t="s">
        <v>137</v>
      </c>
      <c r="E158" s="387">
        <v>4700</v>
      </c>
      <c r="F158" s="387">
        <v>930</v>
      </c>
      <c r="G158" s="409">
        <f t="shared" si="26"/>
        <v>0.19787234042553192</v>
      </c>
      <c r="H158" s="387">
        <v>4700</v>
      </c>
      <c r="I158" s="387">
        <v>930</v>
      </c>
      <c r="J158" s="419">
        <f t="shared" si="27"/>
        <v>0.19787234042553192</v>
      </c>
      <c r="K158" s="420"/>
      <c r="L158" s="421"/>
      <c r="M158" s="422"/>
      <c r="N158" s="420"/>
      <c r="O158" s="421"/>
      <c r="P158" s="423"/>
    </row>
    <row r="159" spans="1:16" ht="18.75">
      <c r="A159" s="5"/>
      <c r="B159" s="15">
        <v>75411</v>
      </c>
      <c r="C159" s="15"/>
      <c r="D159" s="15" t="s">
        <v>252</v>
      </c>
      <c r="E159" s="211">
        <f>E160</f>
        <v>11000</v>
      </c>
      <c r="F159" s="212">
        <f>F160</f>
        <v>0</v>
      </c>
      <c r="G159" s="126">
        <f t="shared" si="26"/>
        <v>0</v>
      </c>
      <c r="H159" s="212">
        <f>H160</f>
        <v>11000</v>
      </c>
      <c r="I159" s="212">
        <f>I160</f>
        <v>0</v>
      </c>
      <c r="J159" s="94">
        <f t="shared" si="27"/>
        <v>0</v>
      </c>
      <c r="K159" s="239"/>
      <c r="L159" s="240"/>
      <c r="M159" s="181"/>
      <c r="N159" s="239"/>
      <c r="O159" s="240"/>
      <c r="P159" s="182"/>
    </row>
    <row r="160" spans="1:16" ht="93.75">
      <c r="A160" s="5"/>
      <c r="B160" s="25"/>
      <c r="C160" s="199">
        <v>6300</v>
      </c>
      <c r="D160" s="411" t="s">
        <v>253</v>
      </c>
      <c r="E160" s="214">
        <v>11000</v>
      </c>
      <c r="F160" s="214">
        <v>0</v>
      </c>
      <c r="G160" s="104">
        <f t="shared" si="26"/>
        <v>0</v>
      </c>
      <c r="H160" s="214">
        <f>E160</f>
        <v>11000</v>
      </c>
      <c r="I160" s="214">
        <v>0</v>
      </c>
      <c r="J160" s="139">
        <f t="shared" si="27"/>
        <v>0</v>
      </c>
      <c r="K160" s="239"/>
      <c r="L160" s="240"/>
      <c r="M160" s="181"/>
      <c r="N160" s="239"/>
      <c r="O160" s="240"/>
      <c r="P160" s="182"/>
    </row>
    <row r="161" spans="1:16" ht="18.75">
      <c r="A161" s="7"/>
      <c r="B161" s="22">
        <v>75412</v>
      </c>
      <c r="C161" s="22"/>
      <c r="D161" s="22" t="s">
        <v>60</v>
      </c>
      <c r="E161" s="216">
        <f>SUM(E162:E180)</f>
        <v>250500</v>
      </c>
      <c r="F161" s="216">
        <f>SUM(F162:F180)</f>
        <v>164984.83000000002</v>
      </c>
      <c r="G161" s="103">
        <f aca="true" t="shared" si="28" ref="G161:G179">F161/E161</f>
        <v>0.6586220758483035</v>
      </c>
      <c r="H161" s="216">
        <f>SUM(H162:H180)</f>
        <v>250500</v>
      </c>
      <c r="I161" s="216">
        <f>SUM(I162:I180)</f>
        <v>164984.83000000002</v>
      </c>
      <c r="J161" s="86">
        <f t="shared" si="27"/>
        <v>0.6586220758483035</v>
      </c>
      <c r="K161" s="229"/>
      <c r="L161" s="224"/>
      <c r="M161" s="153"/>
      <c r="N161" s="229"/>
      <c r="O161" s="224"/>
      <c r="P161" s="154"/>
    </row>
    <row r="162" spans="1:16" ht="18.75">
      <c r="A162" s="7"/>
      <c r="B162" s="15"/>
      <c r="C162" s="15">
        <v>3030</v>
      </c>
      <c r="D162" s="296" t="s">
        <v>57</v>
      </c>
      <c r="E162" s="214">
        <v>25000</v>
      </c>
      <c r="F162" s="214">
        <v>3246.06</v>
      </c>
      <c r="G162" s="104">
        <f t="shared" si="28"/>
        <v>0.1298424</v>
      </c>
      <c r="H162" s="214">
        <v>25000</v>
      </c>
      <c r="I162" s="214">
        <v>3246.06</v>
      </c>
      <c r="J162" s="94">
        <f t="shared" si="27"/>
        <v>0.1298424</v>
      </c>
      <c r="K162" s="228"/>
      <c r="L162" s="222"/>
      <c r="M162" s="170"/>
      <c r="N162" s="228"/>
      <c r="O162" s="222"/>
      <c r="P162" s="30"/>
    </row>
    <row r="163" spans="1:16" ht="18.75">
      <c r="A163" s="7"/>
      <c r="B163" s="15"/>
      <c r="C163" s="15">
        <v>4010</v>
      </c>
      <c r="D163" s="296" t="s">
        <v>47</v>
      </c>
      <c r="E163" s="213">
        <v>49000</v>
      </c>
      <c r="F163" s="217">
        <v>23944.84</v>
      </c>
      <c r="G163" s="104">
        <f t="shared" si="28"/>
        <v>0.48867020408163264</v>
      </c>
      <c r="H163" s="213">
        <f>E163</f>
        <v>49000</v>
      </c>
      <c r="I163" s="217">
        <f>F163</f>
        <v>23944.84</v>
      </c>
      <c r="J163" s="139">
        <f aca="true" t="shared" si="29" ref="J163:J182">I163/H163</f>
        <v>0.48867020408163264</v>
      </c>
      <c r="K163" s="228"/>
      <c r="L163" s="222"/>
      <c r="M163" s="148"/>
      <c r="N163" s="228"/>
      <c r="O163" s="222"/>
      <c r="P163" s="30"/>
    </row>
    <row r="164" spans="1:16" ht="18.75">
      <c r="A164" s="7"/>
      <c r="B164" s="15"/>
      <c r="C164" s="15">
        <v>4040</v>
      </c>
      <c r="D164" s="296" t="s">
        <v>48</v>
      </c>
      <c r="E164" s="213">
        <v>3946</v>
      </c>
      <c r="F164" s="217">
        <v>3945.38</v>
      </c>
      <c r="G164" s="104">
        <f t="shared" si="28"/>
        <v>0.9998428788646732</v>
      </c>
      <c r="H164" s="213">
        <f aca="true" t="shared" si="30" ref="H164:H180">E164</f>
        <v>3946</v>
      </c>
      <c r="I164" s="217">
        <f aca="true" t="shared" si="31" ref="I164:I180">F164</f>
        <v>3945.38</v>
      </c>
      <c r="J164" s="139">
        <f t="shared" si="29"/>
        <v>0.9998428788646732</v>
      </c>
      <c r="K164" s="228"/>
      <c r="L164" s="222"/>
      <c r="M164" s="148"/>
      <c r="N164" s="228"/>
      <c r="O164" s="222"/>
      <c r="P164" s="30"/>
    </row>
    <row r="165" spans="1:16" ht="18.75">
      <c r="A165" s="7"/>
      <c r="B165" s="15"/>
      <c r="C165" s="15">
        <v>4110</v>
      </c>
      <c r="D165" s="296" t="s">
        <v>49</v>
      </c>
      <c r="E165" s="213">
        <v>11700</v>
      </c>
      <c r="F165" s="217">
        <v>4513.8</v>
      </c>
      <c r="G165" s="104">
        <f t="shared" si="28"/>
        <v>0.3857948717948718</v>
      </c>
      <c r="H165" s="213">
        <f t="shared" si="30"/>
        <v>11700</v>
      </c>
      <c r="I165" s="217">
        <f t="shared" si="31"/>
        <v>4513.8</v>
      </c>
      <c r="J165" s="139">
        <f t="shared" si="29"/>
        <v>0.3857948717948718</v>
      </c>
      <c r="K165" s="228"/>
      <c r="L165" s="222"/>
      <c r="M165" s="148"/>
      <c r="N165" s="228"/>
      <c r="O165" s="222"/>
      <c r="P165" s="30"/>
    </row>
    <row r="166" spans="1:16" ht="18.75">
      <c r="A166" s="7"/>
      <c r="B166" s="15"/>
      <c r="C166" s="15">
        <v>4120</v>
      </c>
      <c r="D166" s="296" t="s">
        <v>50</v>
      </c>
      <c r="E166" s="213">
        <v>2000</v>
      </c>
      <c r="F166" s="217">
        <v>532.22</v>
      </c>
      <c r="G166" s="104">
        <f t="shared" si="28"/>
        <v>0.26611</v>
      </c>
      <c r="H166" s="213">
        <f t="shared" si="30"/>
        <v>2000</v>
      </c>
      <c r="I166" s="217">
        <f t="shared" si="31"/>
        <v>532.22</v>
      </c>
      <c r="J166" s="139">
        <f t="shared" si="29"/>
        <v>0.26611</v>
      </c>
      <c r="K166" s="228"/>
      <c r="L166" s="222"/>
      <c r="M166" s="148"/>
      <c r="N166" s="228"/>
      <c r="O166" s="222"/>
      <c r="P166" s="30"/>
    </row>
    <row r="167" spans="1:16" ht="18.75">
      <c r="A167" s="7"/>
      <c r="B167" s="15"/>
      <c r="C167" s="15">
        <v>4140</v>
      </c>
      <c r="D167" s="296" t="s">
        <v>51</v>
      </c>
      <c r="E167" s="213">
        <v>1500</v>
      </c>
      <c r="F167" s="217">
        <v>871.87</v>
      </c>
      <c r="G167" s="104">
        <f t="shared" si="28"/>
        <v>0.5812466666666667</v>
      </c>
      <c r="H167" s="213">
        <f t="shared" si="30"/>
        <v>1500</v>
      </c>
      <c r="I167" s="217">
        <f t="shared" si="31"/>
        <v>871.87</v>
      </c>
      <c r="J167" s="139">
        <f t="shared" si="29"/>
        <v>0.5812466666666667</v>
      </c>
      <c r="K167" s="228"/>
      <c r="L167" s="222"/>
      <c r="M167" s="148"/>
      <c r="N167" s="228"/>
      <c r="O167" s="222"/>
      <c r="P167" s="30"/>
    </row>
    <row r="168" spans="1:16" ht="18.75">
      <c r="A168" s="7"/>
      <c r="B168" s="15"/>
      <c r="C168" s="15">
        <v>4170</v>
      </c>
      <c r="D168" s="296" t="s">
        <v>98</v>
      </c>
      <c r="E168" s="213">
        <v>12000</v>
      </c>
      <c r="F168" s="217">
        <v>5461.16</v>
      </c>
      <c r="G168" s="104">
        <f t="shared" si="28"/>
        <v>0.45509666666666665</v>
      </c>
      <c r="H168" s="213">
        <f t="shared" si="30"/>
        <v>12000</v>
      </c>
      <c r="I168" s="217">
        <f t="shared" si="31"/>
        <v>5461.16</v>
      </c>
      <c r="J168" s="139">
        <f t="shared" si="29"/>
        <v>0.45509666666666665</v>
      </c>
      <c r="K168" s="228"/>
      <c r="L168" s="222"/>
      <c r="M168" s="148"/>
      <c r="N168" s="228"/>
      <c r="O168" s="222"/>
      <c r="P168" s="30"/>
    </row>
    <row r="169" spans="1:16" ht="18.75">
      <c r="A169" s="7"/>
      <c r="B169" s="15"/>
      <c r="C169" s="15">
        <v>4210</v>
      </c>
      <c r="D169" s="296" t="s">
        <v>42</v>
      </c>
      <c r="E169" s="213">
        <v>19100</v>
      </c>
      <c r="F169" s="217">
        <v>13910.58</v>
      </c>
      <c r="G169" s="104">
        <f t="shared" si="28"/>
        <v>0.7283026178010471</v>
      </c>
      <c r="H169" s="213">
        <f t="shared" si="30"/>
        <v>19100</v>
      </c>
      <c r="I169" s="217">
        <f t="shared" si="31"/>
        <v>13910.58</v>
      </c>
      <c r="J169" s="139">
        <f t="shared" si="29"/>
        <v>0.7283026178010471</v>
      </c>
      <c r="K169" s="228"/>
      <c r="L169" s="222"/>
      <c r="M169" s="148"/>
      <c r="N169" s="228"/>
      <c r="O169" s="222"/>
      <c r="P169" s="30"/>
    </row>
    <row r="170" spans="1:16" ht="18.75">
      <c r="A170" s="7"/>
      <c r="B170" s="15"/>
      <c r="C170" s="15">
        <v>4230</v>
      </c>
      <c r="D170" s="296" t="s">
        <v>285</v>
      </c>
      <c r="E170" s="213">
        <v>100</v>
      </c>
      <c r="F170" s="217">
        <v>57.24</v>
      </c>
      <c r="G170" s="104">
        <f t="shared" si="28"/>
        <v>0.5724</v>
      </c>
      <c r="H170" s="213">
        <f t="shared" si="30"/>
        <v>100</v>
      </c>
      <c r="I170" s="217">
        <f t="shared" si="31"/>
        <v>57.24</v>
      </c>
      <c r="J170" s="139">
        <f t="shared" si="29"/>
        <v>0.5724</v>
      </c>
      <c r="K170" s="228"/>
      <c r="L170" s="222"/>
      <c r="M170" s="148"/>
      <c r="N170" s="228"/>
      <c r="O170" s="222"/>
      <c r="P170" s="30"/>
    </row>
    <row r="171" spans="1:16" ht="18.75">
      <c r="A171" s="7"/>
      <c r="B171" s="15"/>
      <c r="C171" s="15">
        <v>4260</v>
      </c>
      <c r="D171" s="296" t="s">
        <v>52</v>
      </c>
      <c r="E171" s="213">
        <v>43000</v>
      </c>
      <c r="F171" s="217">
        <v>34223.38</v>
      </c>
      <c r="G171" s="104">
        <f t="shared" si="28"/>
        <v>0.7958925581395349</v>
      </c>
      <c r="H171" s="213">
        <f t="shared" si="30"/>
        <v>43000</v>
      </c>
      <c r="I171" s="217">
        <f t="shared" si="31"/>
        <v>34223.38</v>
      </c>
      <c r="J171" s="139">
        <f t="shared" si="29"/>
        <v>0.7958925581395349</v>
      </c>
      <c r="K171" s="228"/>
      <c r="L171" s="222"/>
      <c r="M171" s="148"/>
      <c r="N171" s="228"/>
      <c r="O171" s="222"/>
      <c r="P171" s="30"/>
    </row>
    <row r="172" spans="1:16" ht="18.75">
      <c r="A172" s="7"/>
      <c r="B172" s="15"/>
      <c r="C172" s="15">
        <v>4270</v>
      </c>
      <c r="D172" s="296" t="s">
        <v>43</v>
      </c>
      <c r="E172" s="213">
        <v>1054</v>
      </c>
      <c r="F172" s="217">
        <v>0</v>
      </c>
      <c r="G172" s="104">
        <f t="shared" si="28"/>
        <v>0</v>
      </c>
      <c r="H172" s="213">
        <f t="shared" si="30"/>
        <v>1054</v>
      </c>
      <c r="I172" s="217">
        <f t="shared" si="31"/>
        <v>0</v>
      </c>
      <c r="J172" s="139">
        <f t="shared" si="29"/>
        <v>0</v>
      </c>
      <c r="K172" s="228"/>
      <c r="L172" s="222"/>
      <c r="M172" s="148"/>
      <c r="N172" s="228"/>
      <c r="O172" s="222"/>
      <c r="P172" s="30"/>
    </row>
    <row r="173" spans="1:16" ht="18.75" customHeight="1">
      <c r="A173" s="7"/>
      <c r="B173" s="15"/>
      <c r="C173" s="15">
        <v>4280</v>
      </c>
      <c r="D173" s="296" t="s">
        <v>102</v>
      </c>
      <c r="E173" s="213">
        <v>200</v>
      </c>
      <c r="F173" s="217">
        <v>0</v>
      </c>
      <c r="G173" s="104">
        <f t="shared" si="28"/>
        <v>0</v>
      </c>
      <c r="H173" s="213">
        <f t="shared" si="30"/>
        <v>200</v>
      </c>
      <c r="I173" s="217">
        <f t="shared" si="31"/>
        <v>0</v>
      </c>
      <c r="J173" s="139">
        <f t="shared" si="29"/>
        <v>0</v>
      </c>
      <c r="K173" s="228"/>
      <c r="L173" s="222"/>
      <c r="M173" s="148"/>
      <c r="N173" s="228"/>
      <c r="O173" s="222"/>
      <c r="P173" s="30"/>
    </row>
    <row r="174" spans="1:16" ht="18.75">
      <c r="A174" s="7"/>
      <c r="B174" s="15"/>
      <c r="C174" s="15">
        <v>4300</v>
      </c>
      <c r="D174" s="296" t="s">
        <v>44</v>
      </c>
      <c r="E174" s="213">
        <v>14000</v>
      </c>
      <c r="F174" s="217">
        <v>11022.63</v>
      </c>
      <c r="G174" s="104">
        <f t="shared" si="28"/>
        <v>0.7873307142857142</v>
      </c>
      <c r="H174" s="213">
        <f t="shared" si="30"/>
        <v>14000</v>
      </c>
      <c r="I174" s="217">
        <f t="shared" si="31"/>
        <v>11022.63</v>
      </c>
      <c r="J174" s="139">
        <f t="shared" si="29"/>
        <v>0.7873307142857142</v>
      </c>
      <c r="K174" s="228"/>
      <c r="L174" s="222"/>
      <c r="M174" s="148"/>
      <c r="N174" s="228"/>
      <c r="O174" s="222"/>
      <c r="P174" s="30"/>
    </row>
    <row r="175" spans="1:16" ht="18.75">
      <c r="A175" s="7"/>
      <c r="B175" s="15"/>
      <c r="C175" s="15">
        <v>4350</v>
      </c>
      <c r="D175" s="296" t="s">
        <v>104</v>
      </c>
      <c r="E175" s="213">
        <v>1000</v>
      </c>
      <c r="F175" s="217">
        <v>256</v>
      </c>
      <c r="G175" s="104">
        <f t="shared" si="28"/>
        <v>0.256</v>
      </c>
      <c r="H175" s="213">
        <f t="shared" si="30"/>
        <v>1000</v>
      </c>
      <c r="I175" s="217">
        <f t="shared" si="31"/>
        <v>256</v>
      </c>
      <c r="J175" s="139">
        <f t="shared" si="29"/>
        <v>0.256</v>
      </c>
      <c r="K175" s="228"/>
      <c r="L175" s="222"/>
      <c r="M175" s="148"/>
      <c r="N175" s="228"/>
      <c r="O175" s="222"/>
      <c r="P175" s="30"/>
    </row>
    <row r="176" spans="1:16" ht="37.5">
      <c r="A176" s="7"/>
      <c r="B176" s="15"/>
      <c r="C176" s="199">
        <v>4370</v>
      </c>
      <c r="D176" s="294" t="s">
        <v>159</v>
      </c>
      <c r="E176" s="213">
        <v>1000</v>
      </c>
      <c r="F176" s="217">
        <v>192.87</v>
      </c>
      <c r="G176" s="104">
        <f t="shared" si="28"/>
        <v>0.19287</v>
      </c>
      <c r="H176" s="213">
        <f t="shared" si="30"/>
        <v>1000</v>
      </c>
      <c r="I176" s="217">
        <f t="shared" si="31"/>
        <v>192.87</v>
      </c>
      <c r="J176" s="139">
        <f t="shared" si="29"/>
        <v>0.19287</v>
      </c>
      <c r="K176" s="228"/>
      <c r="L176" s="222"/>
      <c r="M176" s="148"/>
      <c r="N176" s="228"/>
      <c r="O176" s="222"/>
      <c r="P176" s="30"/>
    </row>
    <row r="177" spans="1:16" ht="18.75">
      <c r="A177" s="7"/>
      <c r="B177" s="15"/>
      <c r="C177" s="15">
        <v>4430</v>
      </c>
      <c r="D177" s="296" t="s">
        <v>53</v>
      </c>
      <c r="E177" s="213">
        <v>3500</v>
      </c>
      <c r="F177" s="217">
        <v>3235</v>
      </c>
      <c r="G177" s="104">
        <f t="shared" si="28"/>
        <v>0.9242857142857143</v>
      </c>
      <c r="H177" s="213">
        <f t="shared" si="30"/>
        <v>3500</v>
      </c>
      <c r="I177" s="217">
        <f t="shared" si="31"/>
        <v>3235</v>
      </c>
      <c r="J177" s="139">
        <f t="shared" si="29"/>
        <v>0.9242857142857143</v>
      </c>
      <c r="K177" s="228"/>
      <c r="L177" s="222"/>
      <c r="M177" s="148"/>
      <c r="N177" s="228"/>
      <c r="O177" s="222"/>
      <c r="P177" s="30"/>
    </row>
    <row r="178" spans="1:16" ht="18.75">
      <c r="A178" s="7"/>
      <c r="B178" s="15"/>
      <c r="C178" s="15">
        <v>4440</v>
      </c>
      <c r="D178" s="296" t="s">
        <v>124</v>
      </c>
      <c r="E178" s="213">
        <v>2100</v>
      </c>
      <c r="F178" s="217">
        <v>1700</v>
      </c>
      <c r="G178" s="104">
        <f t="shared" si="28"/>
        <v>0.8095238095238095</v>
      </c>
      <c r="H178" s="213">
        <f t="shared" si="30"/>
        <v>2100</v>
      </c>
      <c r="I178" s="217">
        <f t="shared" si="31"/>
        <v>1700</v>
      </c>
      <c r="J178" s="139">
        <f t="shared" si="29"/>
        <v>0.8095238095238095</v>
      </c>
      <c r="K178" s="228"/>
      <c r="L178" s="222"/>
      <c r="M178" s="148"/>
      <c r="N178" s="228"/>
      <c r="O178" s="222"/>
      <c r="P178" s="30"/>
    </row>
    <row r="179" spans="1:16" ht="37.5">
      <c r="A179" s="7"/>
      <c r="B179" s="15"/>
      <c r="C179" s="199">
        <v>4700</v>
      </c>
      <c r="D179" s="295" t="s">
        <v>161</v>
      </c>
      <c r="E179" s="213">
        <v>300</v>
      </c>
      <c r="F179" s="217">
        <v>300</v>
      </c>
      <c r="G179" s="104">
        <f t="shared" si="28"/>
        <v>1</v>
      </c>
      <c r="H179" s="213">
        <f t="shared" si="30"/>
        <v>300</v>
      </c>
      <c r="I179" s="217">
        <f t="shared" si="31"/>
        <v>300</v>
      </c>
      <c r="J179" s="139">
        <f t="shared" si="29"/>
        <v>1</v>
      </c>
      <c r="K179" s="228"/>
      <c r="L179" s="222"/>
      <c r="M179" s="148"/>
      <c r="N179" s="228"/>
      <c r="O179" s="222"/>
      <c r="P179" s="30"/>
    </row>
    <row r="180" spans="1:16" ht="18.75">
      <c r="A180" s="7"/>
      <c r="B180" s="15"/>
      <c r="C180" s="15">
        <v>6050</v>
      </c>
      <c r="D180" s="296" t="s">
        <v>72</v>
      </c>
      <c r="E180" s="213">
        <v>60000</v>
      </c>
      <c r="F180" s="217">
        <v>57571.8</v>
      </c>
      <c r="G180" s="409">
        <f aca="true" t="shared" si="32" ref="G180:G195">F180/E180</f>
        <v>0.95953</v>
      </c>
      <c r="H180" s="213">
        <f t="shared" si="30"/>
        <v>60000</v>
      </c>
      <c r="I180" s="217">
        <f t="shared" si="31"/>
        <v>57571.8</v>
      </c>
      <c r="J180" s="139">
        <f t="shared" si="29"/>
        <v>0.95953</v>
      </c>
      <c r="K180" s="228"/>
      <c r="L180" s="222"/>
      <c r="M180" s="148"/>
      <c r="N180" s="228"/>
      <c r="O180" s="222"/>
      <c r="P180" s="30"/>
    </row>
    <row r="181" spans="1:16" ht="18.75">
      <c r="A181" s="50"/>
      <c r="B181" s="22">
        <v>75416</v>
      </c>
      <c r="C181" s="22"/>
      <c r="D181" s="22" t="s">
        <v>254</v>
      </c>
      <c r="E181" s="218">
        <f>E182</f>
        <v>70000</v>
      </c>
      <c r="F181" s="218">
        <f>F182</f>
        <v>0</v>
      </c>
      <c r="G181" s="104">
        <f t="shared" si="32"/>
        <v>0</v>
      </c>
      <c r="H181" s="218">
        <f>H182</f>
        <v>70000</v>
      </c>
      <c r="I181" s="218">
        <f>I182</f>
        <v>0</v>
      </c>
      <c r="J181" s="474">
        <f t="shared" si="29"/>
        <v>0</v>
      </c>
      <c r="K181" s="229"/>
      <c r="L181" s="224"/>
      <c r="M181" s="153"/>
      <c r="N181" s="229"/>
      <c r="O181" s="224"/>
      <c r="P181" s="154"/>
    </row>
    <row r="182" spans="1:16" ht="75.75" thickBot="1">
      <c r="A182" s="50"/>
      <c r="B182" s="15"/>
      <c r="C182" s="15">
        <v>2310</v>
      </c>
      <c r="D182" s="468" t="s">
        <v>255</v>
      </c>
      <c r="E182" s="213">
        <v>70000</v>
      </c>
      <c r="F182" s="217">
        <v>0</v>
      </c>
      <c r="G182" s="104">
        <f t="shared" si="32"/>
        <v>0</v>
      </c>
      <c r="H182" s="213">
        <v>70000</v>
      </c>
      <c r="I182" s="217">
        <v>0</v>
      </c>
      <c r="J182" s="139">
        <f t="shared" si="29"/>
        <v>0</v>
      </c>
      <c r="K182" s="228"/>
      <c r="L182" s="222"/>
      <c r="M182" s="148"/>
      <c r="N182" s="228"/>
      <c r="O182" s="222"/>
      <c r="P182" s="30"/>
    </row>
    <row r="183" spans="1:16" ht="77.25" customHeight="1" thickBot="1">
      <c r="A183" s="204">
        <v>756</v>
      </c>
      <c r="B183" s="12"/>
      <c r="C183" s="12"/>
      <c r="D183" s="195" t="s">
        <v>111</v>
      </c>
      <c r="E183" s="215">
        <f>E184</f>
        <v>54700</v>
      </c>
      <c r="F183" s="215">
        <f>F184</f>
        <v>23907.39</v>
      </c>
      <c r="G183" s="92">
        <f t="shared" si="32"/>
        <v>0.43706380255941496</v>
      </c>
      <c r="H183" s="221">
        <f>H184</f>
        <v>54700</v>
      </c>
      <c r="I183" s="215">
        <f>I184</f>
        <v>23907.39</v>
      </c>
      <c r="J183" s="93">
        <f aca="true" t="shared" si="33" ref="J183:J191">I183/H183</f>
        <v>0.43706380255941496</v>
      </c>
      <c r="K183" s="227"/>
      <c r="L183" s="215"/>
      <c r="M183" s="150"/>
      <c r="N183" s="227"/>
      <c r="O183" s="215"/>
      <c r="P183" s="14"/>
    </row>
    <row r="184" spans="1:16" ht="47.25" customHeight="1">
      <c r="A184" s="50"/>
      <c r="B184" s="199">
        <v>75647</v>
      </c>
      <c r="C184" s="15"/>
      <c r="D184" s="44" t="s">
        <v>127</v>
      </c>
      <c r="E184" s="211">
        <f>SUM(E185:E187)</f>
        <v>54700</v>
      </c>
      <c r="F184" s="211">
        <f>SUM(F185:F187)</f>
        <v>23907.39</v>
      </c>
      <c r="G184" s="104">
        <f t="shared" si="32"/>
        <v>0.43706380255941496</v>
      </c>
      <c r="H184" s="211">
        <f>SUM(H185:H187)</f>
        <v>54700</v>
      </c>
      <c r="I184" s="211">
        <f>SUM(I185:I187)</f>
        <v>23907.39</v>
      </c>
      <c r="J184" s="151">
        <f t="shared" si="33"/>
        <v>0.43706380255941496</v>
      </c>
      <c r="K184" s="225"/>
      <c r="L184" s="211"/>
      <c r="M184" s="162"/>
      <c r="N184" s="225"/>
      <c r="O184" s="211"/>
      <c r="P184" s="26"/>
    </row>
    <row r="185" spans="1:16" ht="27" customHeight="1">
      <c r="A185" s="50"/>
      <c r="B185" s="15"/>
      <c r="C185" s="15">
        <v>4100</v>
      </c>
      <c r="D185" s="296" t="s">
        <v>59</v>
      </c>
      <c r="E185" s="213">
        <v>48000</v>
      </c>
      <c r="F185" s="217">
        <v>21684.2</v>
      </c>
      <c r="G185" s="104">
        <f t="shared" si="32"/>
        <v>0.4517541666666667</v>
      </c>
      <c r="H185" s="213">
        <f aca="true" t="shared" si="34" ref="H185:I187">E185</f>
        <v>48000</v>
      </c>
      <c r="I185" s="217">
        <f t="shared" si="34"/>
        <v>21684.2</v>
      </c>
      <c r="J185" s="139">
        <f t="shared" si="33"/>
        <v>0.4517541666666667</v>
      </c>
      <c r="K185" s="228"/>
      <c r="L185" s="222"/>
      <c r="M185" s="148"/>
      <c r="N185" s="228"/>
      <c r="O185" s="222"/>
      <c r="P185" s="30"/>
    </row>
    <row r="186" spans="1:16" ht="27" customHeight="1">
      <c r="A186" s="7"/>
      <c r="B186" s="15"/>
      <c r="C186" s="15">
        <v>4210</v>
      </c>
      <c r="D186" s="296" t="s">
        <v>42</v>
      </c>
      <c r="E186" s="213">
        <v>1000</v>
      </c>
      <c r="F186" s="217">
        <v>0</v>
      </c>
      <c r="G186" s="104">
        <f t="shared" si="32"/>
        <v>0</v>
      </c>
      <c r="H186" s="213">
        <f t="shared" si="34"/>
        <v>1000</v>
      </c>
      <c r="I186" s="217">
        <f t="shared" si="34"/>
        <v>0</v>
      </c>
      <c r="J186" s="139">
        <f t="shared" si="33"/>
        <v>0</v>
      </c>
      <c r="K186" s="228"/>
      <c r="L186" s="222"/>
      <c r="M186" s="148"/>
      <c r="N186" s="228"/>
      <c r="O186" s="222"/>
      <c r="P186" s="30"/>
    </row>
    <row r="187" spans="1:16" ht="19.5" thickBot="1">
      <c r="A187" s="50"/>
      <c r="B187" s="15"/>
      <c r="C187" s="15">
        <v>4610</v>
      </c>
      <c r="D187" s="296" t="s">
        <v>183</v>
      </c>
      <c r="E187" s="213">
        <v>5700</v>
      </c>
      <c r="F187" s="217">
        <v>2223.19</v>
      </c>
      <c r="G187" s="104">
        <f t="shared" si="32"/>
        <v>0.39003333333333334</v>
      </c>
      <c r="H187" s="213">
        <f t="shared" si="34"/>
        <v>5700</v>
      </c>
      <c r="I187" s="217">
        <f t="shared" si="34"/>
        <v>2223.19</v>
      </c>
      <c r="J187" s="139">
        <f t="shared" si="33"/>
        <v>0.39003333333333334</v>
      </c>
      <c r="K187" s="228"/>
      <c r="L187" s="222"/>
      <c r="M187" s="148"/>
      <c r="N187" s="228"/>
      <c r="O187" s="222"/>
      <c r="P187" s="30"/>
    </row>
    <row r="188" spans="1:16" ht="19.5" thickBot="1">
      <c r="A188" s="51">
        <v>757</v>
      </c>
      <c r="B188" s="12"/>
      <c r="C188" s="12"/>
      <c r="D188" s="12" t="s">
        <v>61</v>
      </c>
      <c r="E188" s="215">
        <f>E189</f>
        <v>492100</v>
      </c>
      <c r="F188" s="215">
        <f>F189</f>
        <v>159498.85</v>
      </c>
      <c r="G188" s="92">
        <f t="shared" si="32"/>
        <v>0.32411877667140826</v>
      </c>
      <c r="H188" s="221">
        <f>H189</f>
        <v>492100</v>
      </c>
      <c r="I188" s="215">
        <f>I189</f>
        <v>159498.85</v>
      </c>
      <c r="J188" s="93">
        <f t="shared" si="33"/>
        <v>0.32411877667140826</v>
      </c>
      <c r="K188" s="227"/>
      <c r="L188" s="215"/>
      <c r="M188" s="150"/>
      <c r="N188" s="227"/>
      <c r="O188" s="215"/>
      <c r="P188" s="14"/>
    </row>
    <row r="189" spans="1:16" ht="56.25">
      <c r="A189" s="50"/>
      <c r="B189" s="199">
        <v>75702</v>
      </c>
      <c r="C189" s="15"/>
      <c r="D189" s="44" t="s">
        <v>128</v>
      </c>
      <c r="E189" s="211">
        <f>SUM(E190:E191)</f>
        <v>492100</v>
      </c>
      <c r="F189" s="211">
        <f>SUM(F190:F191)</f>
        <v>159498.85</v>
      </c>
      <c r="G189" s="104">
        <f t="shared" si="32"/>
        <v>0.32411877667140826</v>
      </c>
      <c r="H189" s="211">
        <f>SUM(H190:H191)</f>
        <v>492100</v>
      </c>
      <c r="I189" s="211">
        <f>SUM(I190:I191)</f>
        <v>159498.85</v>
      </c>
      <c r="J189" s="151">
        <f t="shared" si="33"/>
        <v>0.32411877667140826</v>
      </c>
      <c r="K189" s="225"/>
      <c r="L189" s="211"/>
      <c r="M189" s="162"/>
      <c r="N189" s="225"/>
      <c r="O189" s="211"/>
      <c r="P189" s="26"/>
    </row>
    <row r="190" spans="1:16" ht="37.5">
      <c r="A190" s="50"/>
      <c r="B190" s="199"/>
      <c r="C190" s="199">
        <v>8010</v>
      </c>
      <c r="D190" s="294" t="s">
        <v>226</v>
      </c>
      <c r="E190" s="213">
        <v>8000</v>
      </c>
      <c r="F190" s="214">
        <v>3607.17</v>
      </c>
      <c r="G190" s="104">
        <f t="shared" si="32"/>
        <v>0.45089625</v>
      </c>
      <c r="H190" s="212">
        <v>8000</v>
      </c>
      <c r="I190" s="212">
        <v>3607.17</v>
      </c>
      <c r="J190" s="151">
        <f t="shared" si="33"/>
        <v>0.45089625</v>
      </c>
      <c r="K190" s="225"/>
      <c r="L190" s="211"/>
      <c r="M190" s="162"/>
      <c r="N190" s="225"/>
      <c r="O190" s="211"/>
      <c r="P190" s="26"/>
    </row>
    <row r="191" spans="1:16" ht="75.75" thickBot="1">
      <c r="A191" s="50"/>
      <c r="B191" s="15"/>
      <c r="C191" s="199">
        <v>8110</v>
      </c>
      <c r="D191" s="295" t="s">
        <v>256</v>
      </c>
      <c r="E191" s="213">
        <v>484100</v>
      </c>
      <c r="F191" s="217">
        <v>155891.68</v>
      </c>
      <c r="G191" s="104">
        <f t="shared" si="32"/>
        <v>0.3220237141086552</v>
      </c>
      <c r="H191" s="217">
        <f>E191</f>
        <v>484100</v>
      </c>
      <c r="I191" s="217">
        <f>F191</f>
        <v>155891.68</v>
      </c>
      <c r="J191" s="139">
        <f t="shared" si="33"/>
        <v>0.3220237141086552</v>
      </c>
      <c r="K191" s="228"/>
      <c r="L191" s="222"/>
      <c r="M191" s="148"/>
      <c r="N191" s="228"/>
      <c r="O191" s="222"/>
      <c r="P191" s="30"/>
    </row>
    <row r="192" spans="1:16" ht="19.5" thickBot="1">
      <c r="A192" s="204">
        <v>758</v>
      </c>
      <c r="B192" s="12"/>
      <c r="C192" s="12"/>
      <c r="D192" s="196" t="s">
        <v>13</v>
      </c>
      <c r="E192" s="215">
        <f>E193</f>
        <v>20000</v>
      </c>
      <c r="F192" s="215">
        <f>F193</f>
        <v>0</v>
      </c>
      <c r="G192" s="92">
        <f t="shared" si="32"/>
        <v>0</v>
      </c>
      <c r="H192" s="221">
        <f>H193</f>
        <v>20000</v>
      </c>
      <c r="I192" s="215">
        <f>I193</f>
        <v>0</v>
      </c>
      <c r="J192" s="93">
        <f>I192/H192</f>
        <v>0</v>
      </c>
      <c r="K192" s="227"/>
      <c r="L192" s="215"/>
      <c r="M192" s="150"/>
      <c r="N192" s="227"/>
      <c r="O192" s="215"/>
      <c r="P192" s="14"/>
    </row>
    <row r="193" spans="1:16" ht="18.75">
      <c r="A193" s="50"/>
      <c r="B193" s="199">
        <v>75818</v>
      </c>
      <c r="C193" s="199"/>
      <c r="D193" s="292" t="s">
        <v>185</v>
      </c>
      <c r="E193" s="211">
        <f>E194</f>
        <v>20000</v>
      </c>
      <c r="F193" s="212">
        <f>F194</f>
        <v>0</v>
      </c>
      <c r="G193" s="104">
        <f t="shared" si="32"/>
        <v>0</v>
      </c>
      <c r="H193" s="212">
        <f>H194</f>
        <v>20000</v>
      </c>
      <c r="I193" s="212">
        <f>I194</f>
        <v>0</v>
      </c>
      <c r="J193" s="129">
        <f>I193/H193</f>
        <v>0</v>
      </c>
      <c r="K193" s="228"/>
      <c r="L193" s="222"/>
      <c r="M193" s="148"/>
      <c r="N193" s="228"/>
      <c r="O193" s="222"/>
      <c r="P193" s="30"/>
    </row>
    <row r="194" spans="1:16" ht="19.5" thickBot="1">
      <c r="A194" s="50"/>
      <c r="B194" s="15"/>
      <c r="C194" s="199">
        <v>4810</v>
      </c>
      <c r="D194" s="295" t="s">
        <v>186</v>
      </c>
      <c r="E194" s="213">
        <v>20000</v>
      </c>
      <c r="F194" s="217">
        <v>0</v>
      </c>
      <c r="G194" s="104">
        <f t="shared" si="32"/>
        <v>0</v>
      </c>
      <c r="H194" s="217">
        <v>20000</v>
      </c>
      <c r="I194" s="217">
        <v>0</v>
      </c>
      <c r="J194" s="139">
        <f>I194/H194</f>
        <v>0</v>
      </c>
      <c r="K194" s="228"/>
      <c r="L194" s="222"/>
      <c r="M194" s="148"/>
      <c r="N194" s="228"/>
      <c r="O194" s="222"/>
      <c r="P194" s="30"/>
    </row>
    <row r="195" spans="1:16" ht="19.5" thickBot="1">
      <c r="A195" s="11">
        <v>801</v>
      </c>
      <c r="B195" s="12"/>
      <c r="C195" s="12"/>
      <c r="D195" s="12" t="s">
        <v>36</v>
      </c>
      <c r="E195" s="215">
        <f>E196+E221+E234+E252+E276+E291+E303+E308+E322</f>
        <v>6648830</v>
      </c>
      <c r="F195" s="215">
        <f>F196+F221+F234+F252+F276+F291+F303+F308+F322</f>
        <v>3444460.0500000007</v>
      </c>
      <c r="G195" s="92">
        <f t="shared" si="32"/>
        <v>0.5180550638232593</v>
      </c>
      <c r="H195" s="215">
        <f>H196+H221+H234+H252+H276+H291+H303+H308+H322</f>
        <v>6648830</v>
      </c>
      <c r="I195" s="215">
        <f>I196+I221+I234+I252+I276+I291+I303+I308+I322</f>
        <v>3444460.0500000007</v>
      </c>
      <c r="J195" s="79">
        <f>I195/H195</f>
        <v>0.5180550638232593</v>
      </c>
      <c r="K195" s="237"/>
      <c r="L195" s="215"/>
      <c r="M195" s="167"/>
      <c r="N195" s="230"/>
      <c r="O195" s="231"/>
      <c r="P195" s="161"/>
    </row>
    <row r="196" spans="1:16" ht="18.75">
      <c r="A196" s="7"/>
      <c r="B196" s="15">
        <v>80101</v>
      </c>
      <c r="C196" s="15"/>
      <c r="D196" s="15" t="s">
        <v>37</v>
      </c>
      <c r="E196" s="211">
        <f>SUM(E197:E220)</f>
        <v>3413940</v>
      </c>
      <c r="F196" s="211">
        <f>SUM(F197:F220)</f>
        <v>1873205.1200000003</v>
      </c>
      <c r="G196" s="126">
        <f aca="true" t="shared" si="35" ref="G196:G219">F196/E196</f>
        <v>0.5486930408853115</v>
      </c>
      <c r="H196" s="211">
        <f>SUM(H197:H220)</f>
        <v>3413940</v>
      </c>
      <c r="I196" s="211">
        <f>SUM(I197:I220)</f>
        <v>1873205.1200000003</v>
      </c>
      <c r="J196" s="151">
        <f>I196/H196</f>
        <v>0.5486930408853115</v>
      </c>
      <c r="K196" s="234"/>
      <c r="L196" s="211"/>
      <c r="M196" s="166"/>
      <c r="N196" s="225"/>
      <c r="O196" s="211"/>
      <c r="P196" s="26"/>
    </row>
    <row r="197" spans="1:16" ht="18.75">
      <c r="A197" s="7"/>
      <c r="B197" s="15"/>
      <c r="C197" s="15">
        <v>3020</v>
      </c>
      <c r="D197" s="296" t="s">
        <v>123</v>
      </c>
      <c r="E197" s="213">
        <v>139110</v>
      </c>
      <c r="F197" s="217">
        <v>63816.29</v>
      </c>
      <c r="G197" s="104">
        <f t="shared" si="35"/>
        <v>0.4587469628351664</v>
      </c>
      <c r="H197" s="213">
        <f>E197</f>
        <v>139110</v>
      </c>
      <c r="I197" s="217">
        <f>F197</f>
        <v>63816.29</v>
      </c>
      <c r="J197" s="139">
        <f aca="true" t="shared" si="36" ref="J197:J233">I197/H197</f>
        <v>0.4587469628351664</v>
      </c>
      <c r="K197" s="228"/>
      <c r="L197" s="222"/>
      <c r="M197" s="165"/>
      <c r="N197" s="228"/>
      <c r="O197" s="222"/>
      <c r="P197" s="30"/>
    </row>
    <row r="198" spans="1:16" ht="18.75">
      <c r="A198" s="7"/>
      <c r="B198" s="15"/>
      <c r="C198" s="15">
        <v>4010</v>
      </c>
      <c r="D198" s="296" t="s">
        <v>47</v>
      </c>
      <c r="E198" s="213">
        <v>1782380</v>
      </c>
      <c r="F198" s="217">
        <v>946251.57</v>
      </c>
      <c r="G198" s="104">
        <f t="shared" si="35"/>
        <v>0.5308921610430997</v>
      </c>
      <c r="H198" s="213">
        <f aca="true" t="shared" si="37" ref="H198:H220">E198</f>
        <v>1782380</v>
      </c>
      <c r="I198" s="217">
        <f aca="true" t="shared" si="38" ref="I198:I220">F198</f>
        <v>946251.57</v>
      </c>
      <c r="J198" s="139">
        <f t="shared" si="36"/>
        <v>0.5308921610430997</v>
      </c>
      <c r="K198" s="228"/>
      <c r="L198" s="222"/>
      <c r="M198" s="148"/>
      <c r="N198" s="228"/>
      <c r="O198" s="222"/>
      <c r="P198" s="30"/>
    </row>
    <row r="199" spans="1:16" ht="18.75">
      <c r="A199" s="7"/>
      <c r="B199" s="15"/>
      <c r="C199" s="15">
        <v>4040</v>
      </c>
      <c r="D199" s="296" t="s">
        <v>48</v>
      </c>
      <c r="E199" s="213">
        <v>155170</v>
      </c>
      <c r="F199" s="217">
        <v>151407.43</v>
      </c>
      <c r="G199" s="104">
        <f t="shared" si="35"/>
        <v>0.9757519494747695</v>
      </c>
      <c r="H199" s="213">
        <f t="shared" si="37"/>
        <v>155170</v>
      </c>
      <c r="I199" s="217">
        <f t="shared" si="38"/>
        <v>151407.43</v>
      </c>
      <c r="J199" s="139">
        <f t="shared" si="36"/>
        <v>0.9757519494747695</v>
      </c>
      <c r="K199" s="228"/>
      <c r="L199" s="222"/>
      <c r="M199" s="148"/>
      <c r="N199" s="228"/>
      <c r="O199" s="222"/>
      <c r="P199" s="30"/>
    </row>
    <row r="200" spans="1:16" ht="18.75">
      <c r="A200" s="7"/>
      <c r="B200" s="15"/>
      <c r="C200" s="15">
        <v>4110</v>
      </c>
      <c r="D200" s="296" t="s">
        <v>49</v>
      </c>
      <c r="E200" s="213">
        <v>339830</v>
      </c>
      <c r="F200" s="217">
        <v>157188.79</v>
      </c>
      <c r="G200" s="104">
        <f t="shared" si="35"/>
        <v>0.46255124621134097</v>
      </c>
      <c r="H200" s="213">
        <f t="shared" si="37"/>
        <v>339830</v>
      </c>
      <c r="I200" s="217">
        <f t="shared" si="38"/>
        <v>157188.79</v>
      </c>
      <c r="J200" s="139">
        <f t="shared" si="36"/>
        <v>0.46255124621134097</v>
      </c>
      <c r="K200" s="228"/>
      <c r="L200" s="222"/>
      <c r="M200" s="170"/>
      <c r="N200" s="228"/>
      <c r="O200" s="222"/>
      <c r="P200" s="30"/>
    </row>
    <row r="201" spans="1:16" ht="18.75">
      <c r="A201" s="7"/>
      <c r="B201" s="15"/>
      <c r="C201" s="15">
        <v>4120</v>
      </c>
      <c r="D201" s="296" t="s">
        <v>50</v>
      </c>
      <c r="E201" s="213">
        <v>53300</v>
      </c>
      <c r="F201" s="217">
        <v>27472.8</v>
      </c>
      <c r="G201" s="104">
        <f t="shared" si="35"/>
        <v>0.515437148217636</v>
      </c>
      <c r="H201" s="213">
        <f t="shared" si="37"/>
        <v>53300</v>
      </c>
      <c r="I201" s="217">
        <f t="shared" si="38"/>
        <v>27472.8</v>
      </c>
      <c r="J201" s="139">
        <f t="shared" si="36"/>
        <v>0.515437148217636</v>
      </c>
      <c r="K201" s="228"/>
      <c r="L201" s="222"/>
      <c r="M201" s="170"/>
      <c r="N201" s="228"/>
      <c r="O201" s="222"/>
      <c r="P201" s="30"/>
    </row>
    <row r="202" spans="1:16" ht="18.75">
      <c r="A202" s="7"/>
      <c r="B202" s="15"/>
      <c r="C202" s="15">
        <v>4140</v>
      </c>
      <c r="D202" s="296" t="s">
        <v>51</v>
      </c>
      <c r="E202" s="213">
        <v>15000</v>
      </c>
      <c r="F202" s="217">
        <v>7899</v>
      </c>
      <c r="G202" s="104">
        <f t="shared" si="35"/>
        <v>0.5266</v>
      </c>
      <c r="H202" s="213">
        <f t="shared" si="37"/>
        <v>15000</v>
      </c>
      <c r="I202" s="217">
        <f t="shared" si="38"/>
        <v>7899</v>
      </c>
      <c r="J202" s="139">
        <f t="shared" si="36"/>
        <v>0.5266</v>
      </c>
      <c r="K202" s="228"/>
      <c r="L202" s="222"/>
      <c r="M202" s="170"/>
      <c r="N202" s="228"/>
      <c r="O202" s="222"/>
      <c r="P202" s="30"/>
    </row>
    <row r="203" spans="1:16" ht="18.75">
      <c r="A203" s="7"/>
      <c r="B203" s="15"/>
      <c r="C203" s="15">
        <v>4170</v>
      </c>
      <c r="D203" s="296" t="s">
        <v>98</v>
      </c>
      <c r="E203" s="213">
        <v>35520</v>
      </c>
      <c r="F203" s="217">
        <v>10870.29</v>
      </c>
      <c r="G203" s="104">
        <f t="shared" si="35"/>
        <v>0.3060329391891892</v>
      </c>
      <c r="H203" s="213">
        <f t="shared" si="37"/>
        <v>35520</v>
      </c>
      <c r="I203" s="217">
        <f t="shared" si="38"/>
        <v>10870.29</v>
      </c>
      <c r="J203" s="139">
        <f t="shared" si="36"/>
        <v>0.3060329391891892</v>
      </c>
      <c r="K203" s="228"/>
      <c r="L203" s="222"/>
      <c r="M203" s="148"/>
      <c r="N203" s="228"/>
      <c r="O203" s="222"/>
      <c r="P203" s="30"/>
    </row>
    <row r="204" spans="1:16" ht="18.75">
      <c r="A204" s="15"/>
      <c r="B204" s="19"/>
      <c r="C204" s="15">
        <v>4210</v>
      </c>
      <c r="D204" s="296" t="s">
        <v>42</v>
      </c>
      <c r="E204" s="213">
        <v>176140</v>
      </c>
      <c r="F204" s="217">
        <v>131984.01</v>
      </c>
      <c r="G204" s="104">
        <f t="shared" si="35"/>
        <v>0.7493131032133531</v>
      </c>
      <c r="H204" s="213">
        <f t="shared" si="37"/>
        <v>176140</v>
      </c>
      <c r="I204" s="217">
        <f t="shared" si="38"/>
        <v>131984.01</v>
      </c>
      <c r="J204" s="139">
        <f t="shared" si="36"/>
        <v>0.7493131032133531</v>
      </c>
      <c r="K204" s="228"/>
      <c r="L204" s="222"/>
      <c r="M204" s="165"/>
      <c r="N204" s="228"/>
      <c r="O204" s="222"/>
      <c r="P204" s="30"/>
    </row>
    <row r="205" spans="1:16" ht="18.75">
      <c r="A205" s="7"/>
      <c r="B205" s="15"/>
      <c r="C205" s="15">
        <v>4240</v>
      </c>
      <c r="D205" s="296" t="s">
        <v>129</v>
      </c>
      <c r="E205" s="213">
        <v>17600</v>
      </c>
      <c r="F205" s="217">
        <v>5570.97</v>
      </c>
      <c r="G205" s="104">
        <f t="shared" si="35"/>
        <v>0.3165323863636364</v>
      </c>
      <c r="H205" s="213">
        <f t="shared" si="37"/>
        <v>17600</v>
      </c>
      <c r="I205" s="217">
        <f t="shared" si="38"/>
        <v>5570.97</v>
      </c>
      <c r="J205" s="139">
        <f t="shared" si="36"/>
        <v>0.3165323863636364</v>
      </c>
      <c r="K205" s="228"/>
      <c r="L205" s="222"/>
      <c r="M205" s="148"/>
      <c r="N205" s="228"/>
      <c r="O205" s="222"/>
      <c r="P205" s="30"/>
    </row>
    <row r="206" spans="1:16" ht="18.75">
      <c r="A206" s="7"/>
      <c r="B206" s="15"/>
      <c r="C206" s="15">
        <v>4260</v>
      </c>
      <c r="D206" s="296" t="s">
        <v>52</v>
      </c>
      <c r="E206" s="213">
        <v>195660</v>
      </c>
      <c r="F206" s="217">
        <v>155845.1</v>
      </c>
      <c r="G206" s="104">
        <f t="shared" si="35"/>
        <v>0.7965097618317489</v>
      </c>
      <c r="H206" s="213">
        <f t="shared" si="37"/>
        <v>195660</v>
      </c>
      <c r="I206" s="217">
        <f t="shared" si="38"/>
        <v>155845.1</v>
      </c>
      <c r="J206" s="139">
        <f t="shared" si="36"/>
        <v>0.7965097618317489</v>
      </c>
      <c r="K206" s="228"/>
      <c r="L206" s="222"/>
      <c r="M206" s="148"/>
      <c r="N206" s="228"/>
      <c r="O206" s="222"/>
      <c r="P206" s="30"/>
    </row>
    <row r="207" spans="1:16" ht="18.75">
      <c r="A207" s="7"/>
      <c r="B207" s="15"/>
      <c r="C207" s="15">
        <v>4270</v>
      </c>
      <c r="D207" s="296" t="s">
        <v>43</v>
      </c>
      <c r="E207" s="213">
        <v>209720</v>
      </c>
      <c r="F207" s="217">
        <v>59176.09</v>
      </c>
      <c r="G207" s="104">
        <f t="shared" si="35"/>
        <v>0.282167127598703</v>
      </c>
      <c r="H207" s="213">
        <f t="shared" si="37"/>
        <v>209720</v>
      </c>
      <c r="I207" s="217">
        <f t="shared" si="38"/>
        <v>59176.09</v>
      </c>
      <c r="J207" s="139">
        <f t="shared" si="36"/>
        <v>0.282167127598703</v>
      </c>
      <c r="K207" s="228"/>
      <c r="L207" s="222"/>
      <c r="M207" s="148"/>
      <c r="N207" s="228"/>
      <c r="O207" s="222"/>
      <c r="P207" s="30"/>
    </row>
    <row r="208" spans="1:16" ht="18.75">
      <c r="A208" s="7"/>
      <c r="B208" s="15"/>
      <c r="C208" s="15">
        <v>4280</v>
      </c>
      <c r="D208" s="296" t="s">
        <v>102</v>
      </c>
      <c r="E208" s="213">
        <v>4300</v>
      </c>
      <c r="F208" s="217">
        <v>551</v>
      </c>
      <c r="G208" s="104">
        <f t="shared" si="35"/>
        <v>0.12813953488372093</v>
      </c>
      <c r="H208" s="213">
        <f t="shared" si="37"/>
        <v>4300</v>
      </c>
      <c r="I208" s="217">
        <f t="shared" si="38"/>
        <v>551</v>
      </c>
      <c r="J208" s="139">
        <f t="shared" si="36"/>
        <v>0.12813953488372093</v>
      </c>
      <c r="K208" s="228"/>
      <c r="L208" s="222"/>
      <c r="M208" s="148"/>
      <c r="N208" s="228"/>
      <c r="O208" s="222"/>
      <c r="P208" s="30"/>
    </row>
    <row r="209" spans="1:16" ht="18.75">
      <c r="A209" s="15"/>
      <c r="B209" s="19"/>
      <c r="C209" s="15">
        <v>4300</v>
      </c>
      <c r="D209" s="296" t="s">
        <v>44</v>
      </c>
      <c r="E209" s="213">
        <v>98300</v>
      </c>
      <c r="F209" s="217">
        <v>44312.35</v>
      </c>
      <c r="G209" s="104">
        <f t="shared" si="35"/>
        <v>0.45078687690742625</v>
      </c>
      <c r="H209" s="213">
        <f t="shared" si="37"/>
        <v>98300</v>
      </c>
      <c r="I209" s="217">
        <f t="shared" si="38"/>
        <v>44312.35</v>
      </c>
      <c r="J209" s="139">
        <f t="shared" si="36"/>
        <v>0.45078687690742625</v>
      </c>
      <c r="K209" s="228"/>
      <c r="L209" s="222"/>
      <c r="M209" s="148"/>
      <c r="N209" s="228"/>
      <c r="O209" s="222"/>
      <c r="P209" s="30"/>
    </row>
    <row r="210" spans="1:16" ht="18.75">
      <c r="A210" s="15"/>
      <c r="B210" s="19"/>
      <c r="C210" s="15">
        <v>4350</v>
      </c>
      <c r="D210" s="296" t="s">
        <v>104</v>
      </c>
      <c r="E210" s="213">
        <v>3500</v>
      </c>
      <c r="F210" s="217">
        <v>825.48</v>
      </c>
      <c r="G210" s="104">
        <f t="shared" si="35"/>
        <v>0.23585142857142857</v>
      </c>
      <c r="H210" s="213">
        <f t="shared" si="37"/>
        <v>3500</v>
      </c>
      <c r="I210" s="217">
        <f t="shared" si="38"/>
        <v>825.48</v>
      </c>
      <c r="J210" s="139">
        <f t="shared" si="36"/>
        <v>0.23585142857142857</v>
      </c>
      <c r="K210" s="228"/>
      <c r="L210" s="222"/>
      <c r="M210" s="148"/>
      <c r="N210" s="228"/>
      <c r="O210" s="222"/>
      <c r="P210" s="30"/>
    </row>
    <row r="211" spans="1:16" ht="37.5">
      <c r="A211" s="15"/>
      <c r="B211" s="19"/>
      <c r="C211" s="15">
        <v>4360</v>
      </c>
      <c r="D211" s="294" t="s">
        <v>160</v>
      </c>
      <c r="E211" s="213">
        <v>2100</v>
      </c>
      <c r="F211" s="217">
        <v>836.71</v>
      </c>
      <c r="G211" s="104">
        <f t="shared" si="35"/>
        <v>0.39843333333333336</v>
      </c>
      <c r="H211" s="213">
        <f t="shared" si="37"/>
        <v>2100</v>
      </c>
      <c r="I211" s="217">
        <f t="shared" si="38"/>
        <v>836.71</v>
      </c>
      <c r="J211" s="139">
        <f t="shared" si="36"/>
        <v>0.39843333333333336</v>
      </c>
      <c r="K211" s="228"/>
      <c r="L211" s="222"/>
      <c r="M211" s="148"/>
      <c r="N211" s="228"/>
      <c r="O211" s="222"/>
      <c r="P211" s="30"/>
    </row>
    <row r="212" spans="1:16" ht="37.5">
      <c r="A212" s="15"/>
      <c r="B212" s="19"/>
      <c r="C212" s="199">
        <v>4370</v>
      </c>
      <c r="D212" s="294" t="s">
        <v>159</v>
      </c>
      <c r="E212" s="213">
        <v>6500</v>
      </c>
      <c r="F212" s="217">
        <v>2365.71</v>
      </c>
      <c r="G212" s="104">
        <f t="shared" si="35"/>
        <v>0.3639553846153846</v>
      </c>
      <c r="H212" s="213">
        <f t="shared" si="37"/>
        <v>6500</v>
      </c>
      <c r="I212" s="217">
        <f t="shared" si="38"/>
        <v>2365.71</v>
      </c>
      <c r="J212" s="139">
        <f t="shared" si="36"/>
        <v>0.3639553846153846</v>
      </c>
      <c r="K212" s="228"/>
      <c r="L212" s="222"/>
      <c r="M212" s="148"/>
      <c r="N212" s="228"/>
      <c r="O212" s="222"/>
      <c r="P212" s="30"/>
    </row>
    <row r="213" spans="1:16" ht="37.5">
      <c r="A213" s="15"/>
      <c r="B213" s="19"/>
      <c r="C213" s="199">
        <v>4400</v>
      </c>
      <c r="D213" s="295" t="s">
        <v>182</v>
      </c>
      <c r="E213" s="213">
        <v>1140</v>
      </c>
      <c r="F213" s="217">
        <v>576.3</v>
      </c>
      <c r="G213" s="104">
        <f t="shared" si="35"/>
        <v>0.5055263157894736</v>
      </c>
      <c r="H213" s="213">
        <f t="shared" si="37"/>
        <v>1140</v>
      </c>
      <c r="I213" s="217">
        <f t="shared" si="38"/>
        <v>576.3</v>
      </c>
      <c r="J213" s="139">
        <f t="shared" si="36"/>
        <v>0.5055263157894736</v>
      </c>
      <c r="K213" s="228"/>
      <c r="L213" s="222"/>
      <c r="M213" s="148"/>
      <c r="N213" s="228"/>
      <c r="O213" s="222"/>
      <c r="P213" s="30"/>
    </row>
    <row r="214" spans="1:16" ht="18.75">
      <c r="A214" s="7"/>
      <c r="B214" s="19"/>
      <c r="C214" s="15">
        <v>4410</v>
      </c>
      <c r="D214" s="296" t="s">
        <v>55</v>
      </c>
      <c r="E214" s="213">
        <v>4700</v>
      </c>
      <c r="F214" s="217">
        <v>2244.94</v>
      </c>
      <c r="G214" s="104">
        <f t="shared" si="35"/>
        <v>0.4776468085106383</v>
      </c>
      <c r="H214" s="213">
        <f t="shared" si="37"/>
        <v>4700</v>
      </c>
      <c r="I214" s="217">
        <f t="shared" si="38"/>
        <v>2244.94</v>
      </c>
      <c r="J214" s="139">
        <f t="shared" si="36"/>
        <v>0.4776468085106383</v>
      </c>
      <c r="K214" s="228"/>
      <c r="L214" s="222"/>
      <c r="M214" s="148"/>
      <c r="N214" s="228"/>
      <c r="O214" s="222"/>
      <c r="P214" s="30"/>
    </row>
    <row r="215" spans="1:16" ht="18.75">
      <c r="A215" s="7"/>
      <c r="B215" s="19"/>
      <c r="C215" s="15">
        <v>4430</v>
      </c>
      <c r="D215" s="296" t="s">
        <v>53</v>
      </c>
      <c r="E215" s="213">
        <v>6300</v>
      </c>
      <c r="F215" s="217">
        <v>918</v>
      </c>
      <c r="G215" s="104">
        <f t="shared" si="35"/>
        <v>0.1457142857142857</v>
      </c>
      <c r="H215" s="213">
        <f t="shared" si="37"/>
        <v>6300</v>
      </c>
      <c r="I215" s="217">
        <f t="shared" si="38"/>
        <v>918</v>
      </c>
      <c r="J215" s="139">
        <f t="shared" si="36"/>
        <v>0.1457142857142857</v>
      </c>
      <c r="K215" s="228"/>
      <c r="L215" s="222"/>
      <c r="M215" s="148"/>
      <c r="N215" s="228"/>
      <c r="O215" s="222"/>
      <c r="P215" s="30"/>
    </row>
    <row r="216" spans="1:16" ht="18.75">
      <c r="A216" s="7"/>
      <c r="B216" s="15"/>
      <c r="C216" s="15">
        <v>4440</v>
      </c>
      <c r="D216" s="296" t="s">
        <v>124</v>
      </c>
      <c r="E216" s="213">
        <v>103110</v>
      </c>
      <c r="F216" s="217">
        <v>77360</v>
      </c>
      <c r="G216" s="104">
        <f t="shared" si="35"/>
        <v>0.7502667054601881</v>
      </c>
      <c r="H216" s="213">
        <f t="shared" si="37"/>
        <v>103110</v>
      </c>
      <c r="I216" s="217">
        <f t="shared" si="38"/>
        <v>77360</v>
      </c>
      <c r="J216" s="139">
        <f t="shared" si="36"/>
        <v>0.7502667054601881</v>
      </c>
      <c r="K216" s="228"/>
      <c r="L216" s="222"/>
      <c r="M216" s="148"/>
      <c r="N216" s="228"/>
      <c r="O216" s="222"/>
      <c r="P216" s="30"/>
    </row>
    <row r="217" spans="1:16" ht="37.5">
      <c r="A217" s="7"/>
      <c r="B217" s="15"/>
      <c r="C217" s="199">
        <v>4700</v>
      </c>
      <c r="D217" s="294" t="s">
        <v>161</v>
      </c>
      <c r="E217" s="213">
        <v>2500</v>
      </c>
      <c r="F217" s="217">
        <v>217.5</v>
      </c>
      <c r="G217" s="104">
        <f t="shared" si="35"/>
        <v>0.087</v>
      </c>
      <c r="H217" s="213">
        <f t="shared" si="37"/>
        <v>2500</v>
      </c>
      <c r="I217" s="217">
        <f t="shared" si="38"/>
        <v>217.5</v>
      </c>
      <c r="J217" s="139">
        <f t="shared" si="36"/>
        <v>0.087</v>
      </c>
      <c r="K217" s="228"/>
      <c r="L217" s="222"/>
      <c r="M217" s="148"/>
      <c r="N217" s="228"/>
      <c r="O217" s="222"/>
      <c r="P217" s="30"/>
    </row>
    <row r="218" spans="1:16" ht="37.5">
      <c r="A218" s="7"/>
      <c r="B218" s="15"/>
      <c r="C218" s="199">
        <v>4740</v>
      </c>
      <c r="D218" s="294" t="s">
        <v>157</v>
      </c>
      <c r="E218" s="213">
        <v>2060</v>
      </c>
      <c r="F218" s="217">
        <v>160.87</v>
      </c>
      <c r="G218" s="104">
        <f t="shared" si="35"/>
        <v>0.07809223300970874</v>
      </c>
      <c r="H218" s="213">
        <f t="shared" si="37"/>
        <v>2060</v>
      </c>
      <c r="I218" s="217">
        <f t="shared" si="38"/>
        <v>160.87</v>
      </c>
      <c r="J218" s="139">
        <f t="shared" si="36"/>
        <v>0.07809223300970874</v>
      </c>
      <c r="K218" s="228"/>
      <c r="L218" s="222"/>
      <c r="M218" s="148"/>
      <c r="N218" s="228"/>
      <c r="O218" s="222"/>
      <c r="P218" s="30"/>
    </row>
    <row r="219" spans="1:16" ht="37.5">
      <c r="A219" s="7"/>
      <c r="B219" s="15"/>
      <c r="C219" s="199">
        <v>4750</v>
      </c>
      <c r="D219" s="294" t="s">
        <v>158</v>
      </c>
      <c r="E219" s="213">
        <v>10000</v>
      </c>
      <c r="F219" s="217">
        <v>4613.92</v>
      </c>
      <c r="G219" s="104">
        <f t="shared" si="35"/>
        <v>0.461392</v>
      </c>
      <c r="H219" s="213">
        <f t="shared" si="37"/>
        <v>10000</v>
      </c>
      <c r="I219" s="217">
        <f t="shared" si="38"/>
        <v>4613.92</v>
      </c>
      <c r="J219" s="139">
        <f t="shared" si="36"/>
        <v>0.461392</v>
      </c>
      <c r="K219" s="228"/>
      <c r="L219" s="222"/>
      <c r="M219" s="148"/>
      <c r="N219" s="228"/>
      <c r="O219" s="222"/>
      <c r="P219" s="30"/>
    </row>
    <row r="220" spans="1:16" ht="18.75">
      <c r="A220" s="7"/>
      <c r="B220" s="15"/>
      <c r="C220" s="199">
        <v>6050</v>
      </c>
      <c r="D220" s="294" t="s">
        <v>72</v>
      </c>
      <c r="E220" s="213">
        <v>50000</v>
      </c>
      <c r="F220" s="217">
        <v>20740</v>
      </c>
      <c r="G220" s="104">
        <f>F220/E220</f>
        <v>0.4148</v>
      </c>
      <c r="H220" s="213">
        <f t="shared" si="37"/>
        <v>50000</v>
      </c>
      <c r="I220" s="217">
        <f t="shared" si="38"/>
        <v>20740</v>
      </c>
      <c r="J220" s="139">
        <f t="shared" si="36"/>
        <v>0.4148</v>
      </c>
      <c r="K220" s="228"/>
      <c r="L220" s="222"/>
      <c r="M220" s="148"/>
      <c r="N220" s="228"/>
      <c r="O220" s="222"/>
      <c r="P220" s="30"/>
    </row>
    <row r="221" spans="1:16" ht="18.75">
      <c r="A221" s="7"/>
      <c r="B221" s="22">
        <v>80103</v>
      </c>
      <c r="C221" s="22"/>
      <c r="D221" s="22" t="s">
        <v>101</v>
      </c>
      <c r="E221" s="218">
        <f>SUM(E222:E233)</f>
        <v>281390</v>
      </c>
      <c r="F221" s="218">
        <f>SUM(F222:F233)</f>
        <v>156231.25</v>
      </c>
      <c r="G221" s="103">
        <f aca="true" t="shared" si="39" ref="G221:G232">F221/E221</f>
        <v>0.5552125164362628</v>
      </c>
      <c r="H221" s="218">
        <f>SUM(H222:H233)</f>
        <v>281390</v>
      </c>
      <c r="I221" s="218">
        <f>SUM(I222:I233)</f>
        <v>156231.25</v>
      </c>
      <c r="J221" s="86">
        <f>I221/H221</f>
        <v>0.5552125164362628</v>
      </c>
      <c r="K221" s="229"/>
      <c r="L221" s="224"/>
      <c r="M221" s="153"/>
      <c r="N221" s="229"/>
      <c r="O221" s="224"/>
      <c r="P221" s="154"/>
    </row>
    <row r="222" spans="1:16" ht="18.75">
      <c r="A222" s="7"/>
      <c r="B222" s="15"/>
      <c r="C222" s="15">
        <v>3020</v>
      </c>
      <c r="D222" s="296" t="s">
        <v>123</v>
      </c>
      <c r="E222" s="213">
        <v>17200</v>
      </c>
      <c r="F222" s="217">
        <v>7739.27</v>
      </c>
      <c r="G222" s="104">
        <f t="shared" si="39"/>
        <v>0.4499575581395349</v>
      </c>
      <c r="H222" s="213">
        <f>E222</f>
        <v>17200</v>
      </c>
      <c r="I222" s="217">
        <f>F222</f>
        <v>7739.27</v>
      </c>
      <c r="J222" s="139">
        <f t="shared" si="36"/>
        <v>0.4499575581395349</v>
      </c>
      <c r="K222" s="228"/>
      <c r="L222" s="222"/>
      <c r="M222" s="148"/>
      <c r="N222" s="228"/>
      <c r="O222" s="222"/>
      <c r="P222" s="30"/>
    </row>
    <row r="223" spans="1:16" ht="18.75">
      <c r="A223" s="7"/>
      <c r="B223" s="15"/>
      <c r="C223" s="15">
        <v>4010</v>
      </c>
      <c r="D223" s="296" t="s">
        <v>47</v>
      </c>
      <c r="E223" s="213">
        <v>160000</v>
      </c>
      <c r="F223" s="217">
        <v>81534.98</v>
      </c>
      <c r="G223" s="104">
        <f t="shared" si="39"/>
        <v>0.5095936249999999</v>
      </c>
      <c r="H223" s="213">
        <f aca="true" t="shared" si="40" ref="H223:H233">E223</f>
        <v>160000</v>
      </c>
      <c r="I223" s="217">
        <f aca="true" t="shared" si="41" ref="I223:I233">F223</f>
        <v>81534.98</v>
      </c>
      <c r="J223" s="139">
        <f t="shared" si="36"/>
        <v>0.5095936249999999</v>
      </c>
      <c r="K223" s="228"/>
      <c r="L223" s="222"/>
      <c r="M223" s="148"/>
      <c r="N223" s="228"/>
      <c r="O223" s="222"/>
      <c r="P223" s="30"/>
    </row>
    <row r="224" spans="1:16" ht="18.75">
      <c r="A224" s="7"/>
      <c r="B224" s="15"/>
      <c r="C224" s="15">
        <v>4040</v>
      </c>
      <c r="D224" s="296" t="s">
        <v>48</v>
      </c>
      <c r="E224" s="213">
        <v>13750</v>
      </c>
      <c r="F224" s="217">
        <v>13499.14</v>
      </c>
      <c r="G224" s="104">
        <f t="shared" si="39"/>
        <v>0.9817556363636363</v>
      </c>
      <c r="H224" s="213">
        <f t="shared" si="40"/>
        <v>13750</v>
      </c>
      <c r="I224" s="217">
        <f t="shared" si="41"/>
        <v>13499.14</v>
      </c>
      <c r="J224" s="139">
        <f t="shared" si="36"/>
        <v>0.9817556363636363</v>
      </c>
      <c r="K224" s="228"/>
      <c r="L224" s="222"/>
      <c r="M224" s="148"/>
      <c r="N224" s="228"/>
      <c r="O224" s="222"/>
      <c r="P224" s="30"/>
    </row>
    <row r="225" spans="1:16" ht="18.75">
      <c r="A225" s="7"/>
      <c r="B225" s="15"/>
      <c r="C225" s="15">
        <v>4110</v>
      </c>
      <c r="D225" s="296" t="s">
        <v>49</v>
      </c>
      <c r="E225" s="213">
        <v>26750</v>
      </c>
      <c r="F225" s="217">
        <v>13883.96</v>
      </c>
      <c r="G225" s="104">
        <f t="shared" si="39"/>
        <v>0.5190265420560747</v>
      </c>
      <c r="H225" s="213">
        <f t="shared" si="40"/>
        <v>26750</v>
      </c>
      <c r="I225" s="217">
        <f t="shared" si="41"/>
        <v>13883.96</v>
      </c>
      <c r="J225" s="139">
        <f t="shared" si="36"/>
        <v>0.5190265420560747</v>
      </c>
      <c r="K225" s="228"/>
      <c r="L225" s="222"/>
      <c r="M225" s="148"/>
      <c r="N225" s="228"/>
      <c r="O225" s="222"/>
      <c r="P225" s="30"/>
    </row>
    <row r="226" spans="1:16" ht="18.75">
      <c r="A226" s="7"/>
      <c r="B226" s="15"/>
      <c r="C226" s="15">
        <v>4120</v>
      </c>
      <c r="D226" s="296" t="s">
        <v>50</v>
      </c>
      <c r="E226" s="213">
        <v>4300</v>
      </c>
      <c r="F226" s="217">
        <v>2590.02</v>
      </c>
      <c r="G226" s="104">
        <f t="shared" si="39"/>
        <v>0.6023302325581396</v>
      </c>
      <c r="H226" s="213">
        <f t="shared" si="40"/>
        <v>4300</v>
      </c>
      <c r="I226" s="217">
        <f t="shared" si="41"/>
        <v>2590.02</v>
      </c>
      <c r="J226" s="139">
        <f t="shared" si="36"/>
        <v>0.6023302325581396</v>
      </c>
      <c r="K226" s="228"/>
      <c r="L226" s="222"/>
      <c r="M226" s="148"/>
      <c r="N226" s="228"/>
      <c r="O226" s="222"/>
      <c r="P226" s="30"/>
    </row>
    <row r="227" spans="1:16" ht="18.75">
      <c r="A227" s="7"/>
      <c r="B227" s="15"/>
      <c r="C227" s="15">
        <v>4210</v>
      </c>
      <c r="D227" s="296" t="s">
        <v>42</v>
      </c>
      <c r="E227" s="213">
        <v>2100</v>
      </c>
      <c r="F227" s="217">
        <v>1390</v>
      </c>
      <c r="G227" s="104">
        <f t="shared" si="39"/>
        <v>0.6619047619047619</v>
      </c>
      <c r="H227" s="213">
        <f t="shared" si="40"/>
        <v>2100</v>
      </c>
      <c r="I227" s="217">
        <f t="shared" si="41"/>
        <v>1390</v>
      </c>
      <c r="J227" s="139">
        <f t="shared" si="36"/>
        <v>0.6619047619047619</v>
      </c>
      <c r="K227" s="228"/>
      <c r="L227" s="222"/>
      <c r="M227" s="148"/>
      <c r="N227" s="228"/>
      <c r="O227" s="222"/>
      <c r="P227" s="30"/>
    </row>
    <row r="228" spans="1:16" ht="18.75">
      <c r="A228" s="7"/>
      <c r="B228" s="15"/>
      <c r="C228" s="15">
        <v>4240</v>
      </c>
      <c r="D228" s="296" t="s">
        <v>129</v>
      </c>
      <c r="E228" s="213">
        <v>2500</v>
      </c>
      <c r="F228" s="217">
        <v>397.93</v>
      </c>
      <c r="G228" s="104">
        <f t="shared" si="39"/>
        <v>0.159172</v>
      </c>
      <c r="H228" s="213">
        <f t="shared" si="40"/>
        <v>2500</v>
      </c>
      <c r="I228" s="217">
        <f t="shared" si="41"/>
        <v>397.93</v>
      </c>
      <c r="J228" s="139">
        <f t="shared" si="36"/>
        <v>0.159172</v>
      </c>
      <c r="K228" s="228"/>
      <c r="L228" s="222"/>
      <c r="M228" s="148"/>
      <c r="N228" s="228"/>
      <c r="O228" s="222"/>
      <c r="P228" s="30"/>
    </row>
    <row r="229" spans="1:16" ht="18.75">
      <c r="A229" s="7"/>
      <c r="B229" s="15"/>
      <c r="C229" s="15">
        <v>4260</v>
      </c>
      <c r="D229" s="296" t="s">
        <v>52</v>
      </c>
      <c r="E229" s="213">
        <v>40770</v>
      </c>
      <c r="F229" s="217">
        <v>26549.45</v>
      </c>
      <c r="G229" s="104">
        <f t="shared" si="39"/>
        <v>0.6512006377238165</v>
      </c>
      <c r="H229" s="213">
        <f t="shared" si="40"/>
        <v>40770</v>
      </c>
      <c r="I229" s="217">
        <f t="shared" si="41"/>
        <v>26549.45</v>
      </c>
      <c r="J229" s="139">
        <f t="shared" si="36"/>
        <v>0.6512006377238165</v>
      </c>
      <c r="K229" s="228"/>
      <c r="L229" s="222"/>
      <c r="M229" s="148"/>
      <c r="N229" s="228"/>
      <c r="O229" s="222"/>
      <c r="P229" s="30"/>
    </row>
    <row r="230" spans="1:16" ht="18.75">
      <c r="A230" s="7"/>
      <c r="B230" s="15"/>
      <c r="C230" s="15">
        <v>4280</v>
      </c>
      <c r="D230" s="296" t="s">
        <v>102</v>
      </c>
      <c r="E230" s="213">
        <v>400</v>
      </c>
      <c r="F230" s="217">
        <v>0</v>
      </c>
      <c r="G230" s="104">
        <f t="shared" si="39"/>
        <v>0</v>
      </c>
      <c r="H230" s="213">
        <f t="shared" si="40"/>
        <v>400</v>
      </c>
      <c r="I230" s="217">
        <f t="shared" si="41"/>
        <v>0</v>
      </c>
      <c r="J230" s="139">
        <f t="shared" si="36"/>
        <v>0</v>
      </c>
      <c r="K230" s="228"/>
      <c r="L230" s="222"/>
      <c r="M230" s="148"/>
      <c r="N230" s="228"/>
      <c r="O230" s="222"/>
      <c r="P230" s="30"/>
    </row>
    <row r="231" spans="1:16" ht="18.75">
      <c r="A231" s="7"/>
      <c r="B231" s="15"/>
      <c r="C231" s="15">
        <v>4300</v>
      </c>
      <c r="D231" s="296" t="s">
        <v>44</v>
      </c>
      <c r="E231" s="213">
        <v>3000</v>
      </c>
      <c r="F231" s="217">
        <v>826.5</v>
      </c>
      <c r="G231" s="104">
        <f t="shared" si="39"/>
        <v>0.2755</v>
      </c>
      <c r="H231" s="213">
        <f t="shared" si="40"/>
        <v>3000</v>
      </c>
      <c r="I231" s="217">
        <f t="shared" si="41"/>
        <v>826.5</v>
      </c>
      <c r="J231" s="139">
        <f t="shared" si="36"/>
        <v>0.2755</v>
      </c>
      <c r="K231" s="228"/>
      <c r="L231" s="222"/>
      <c r="M231" s="148"/>
      <c r="N231" s="228"/>
      <c r="O231" s="222"/>
      <c r="P231" s="30"/>
    </row>
    <row r="232" spans="1:16" ht="18.75">
      <c r="A232" s="7"/>
      <c r="B232" s="15"/>
      <c r="C232" s="15">
        <v>4410</v>
      </c>
      <c r="D232" s="296" t="s">
        <v>55</v>
      </c>
      <c r="E232" s="213">
        <v>200</v>
      </c>
      <c r="F232" s="217">
        <v>0</v>
      </c>
      <c r="G232" s="104">
        <f t="shared" si="39"/>
        <v>0</v>
      </c>
      <c r="H232" s="213">
        <f t="shared" si="40"/>
        <v>200</v>
      </c>
      <c r="I232" s="217">
        <f t="shared" si="41"/>
        <v>0</v>
      </c>
      <c r="J232" s="139">
        <f t="shared" si="36"/>
        <v>0</v>
      </c>
      <c r="K232" s="228"/>
      <c r="L232" s="222"/>
      <c r="M232" s="148"/>
      <c r="N232" s="228"/>
      <c r="O232" s="222"/>
      <c r="P232" s="30"/>
    </row>
    <row r="233" spans="1:16" ht="18.75">
      <c r="A233" s="7"/>
      <c r="B233" s="15"/>
      <c r="C233" s="15">
        <v>4440</v>
      </c>
      <c r="D233" s="296" t="s">
        <v>124</v>
      </c>
      <c r="E233" s="213">
        <v>10420</v>
      </c>
      <c r="F233" s="217">
        <v>7820</v>
      </c>
      <c r="G233" s="104">
        <f>F233/E233</f>
        <v>0.7504798464491362</v>
      </c>
      <c r="H233" s="213">
        <f t="shared" si="40"/>
        <v>10420</v>
      </c>
      <c r="I233" s="217">
        <f t="shared" si="41"/>
        <v>7820</v>
      </c>
      <c r="J233" s="139">
        <f t="shared" si="36"/>
        <v>0.7504798464491362</v>
      </c>
      <c r="K233" s="228"/>
      <c r="L233" s="222"/>
      <c r="M233" s="148"/>
      <c r="N233" s="228"/>
      <c r="O233" s="222"/>
      <c r="P233" s="30"/>
    </row>
    <row r="234" spans="1:16" ht="18.75">
      <c r="A234" s="7"/>
      <c r="B234" s="22">
        <v>80104</v>
      </c>
      <c r="C234" s="22"/>
      <c r="D234" s="22" t="s">
        <v>77</v>
      </c>
      <c r="E234" s="218">
        <f>SUM(E235:E251)</f>
        <v>526470</v>
      </c>
      <c r="F234" s="218">
        <f>SUM(F235:F251)</f>
        <v>130053.45999999999</v>
      </c>
      <c r="G234" s="103">
        <f aca="true" t="shared" si="42" ref="G234:G250">F234/E234</f>
        <v>0.2470291944460273</v>
      </c>
      <c r="H234" s="218">
        <f>SUM(H235:H251)</f>
        <v>526470</v>
      </c>
      <c r="I234" s="218">
        <f>SUM(I235:I251)</f>
        <v>130053.45999999999</v>
      </c>
      <c r="J234" s="86">
        <f>I234/H234</f>
        <v>0.2470291944460273</v>
      </c>
      <c r="K234" s="229"/>
      <c r="L234" s="224"/>
      <c r="M234" s="153"/>
      <c r="N234" s="229"/>
      <c r="O234" s="224"/>
      <c r="P234" s="154"/>
    </row>
    <row r="235" spans="1:16" ht="18.75">
      <c r="A235" s="7"/>
      <c r="B235" s="15"/>
      <c r="C235" s="15">
        <v>3020</v>
      </c>
      <c r="D235" s="296" t="s">
        <v>123</v>
      </c>
      <c r="E235" s="213">
        <v>5650</v>
      </c>
      <c r="F235" s="217">
        <v>3870.66</v>
      </c>
      <c r="G235" s="104">
        <f t="shared" si="42"/>
        <v>0.6850725663716813</v>
      </c>
      <c r="H235" s="213">
        <f>E235</f>
        <v>5650</v>
      </c>
      <c r="I235" s="217">
        <f>F235</f>
        <v>3870.66</v>
      </c>
      <c r="J235" s="139">
        <f aca="true" t="shared" si="43" ref="J235:J251">I235/H235</f>
        <v>0.6850725663716813</v>
      </c>
      <c r="K235" s="228"/>
      <c r="L235" s="222"/>
      <c r="M235" s="148"/>
      <c r="N235" s="228"/>
      <c r="O235" s="222"/>
      <c r="P235" s="30"/>
    </row>
    <row r="236" spans="1:16" ht="18.75">
      <c r="A236" s="7"/>
      <c r="B236" s="15"/>
      <c r="C236" s="15">
        <v>4010</v>
      </c>
      <c r="D236" s="296" t="s">
        <v>47</v>
      </c>
      <c r="E236" s="213">
        <v>133400</v>
      </c>
      <c r="F236" s="217">
        <v>61438.64</v>
      </c>
      <c r="G236" s="104">
        <f t="shared" si="42"/>
        <v>0.46055952023988006</v>
      </c>
      <c r="H236" s="213">
        <f aca="true" t="shared" si="44" ref="H236:H251">E236</f>
        <v>133400</v>
      </c>
      <c r="I236" s="217">
        <f aca="true" t="shared" si="45" ref="I236:I251">F236</f>
        <v>61438.64</v>
      </c>
      <c r="J236" s="139">
        <f t="shared" si="43"/>
        <v>0.46055952023988006</v>
      </c>
      <c r="K236" s="228"/>
      <c r="L236" s="222"/>
      <c r="M236" s="148"/>
      <c r="N236" s="228"/>
      <c r="O236" s="222"/>
      <c r="P236" s="30"/>
    </row>
    <row r="237" spans="1:16" ht="18.75">
      <c r="A237" s="7"/>
      <c r="B237" s="15"/>
      <c r="C237" s="15">
        <v>4040</v>
      </c>
      <c r="D237" s="296" t="s">
        <v>48</v>
      </c>
      <c r="E237" s="213">
        <v>11050</v>
      </c>
      <c r="F237" s="217">
        <v>10950.39</v>
      </c>
      <c r="G237" s="104">
        <f t="shared" si="42"/>
        <v>0.990985520361991</v>
      </c>
      <c r="H237" s="213">
        <f t="shared" si="44"/>
        <v>11050</v>
      </c>
      <c r="I237" s="217">
        <f t="shared" si="45"/>
        <v>10950.39</v>
      </c>
      <c r="J237" s="139">
        <f t="shared" si="43"/>
        <v>0.990985520361991</v>
      </c>
      <c r="K237" s="228"/>
      <c r="L237" s="222"/>
      <c r="M237" s="148"/>
      <c r="N237" s="228"/>
      <c r="O237" s="222"/>
      <c r="P237" s="30"/>
    </row>
    <row r="238" spans="1:16" ht="18.75">
      <c r="A238" s="7"/>
      <c r="B238" s="15"/>
      <c r="C238" s="15">
        <v>4110</v>
      </c>
      <c r="D238" s="296" t="s">
        <v>49</v>
      </c>
      <c r="E238" s="213">
        <v>23450</v>
      </c>
      <c r="F238" s="217">
        <v>11264.62</v>
      </c>
      <c r="G238" s="104">
        <f t="shared" si="42"/>
        <v>0.48036759061833695</v>
      </c>
      <c r="H238" s="213">
        <f t="shared" si="44"/>
        <v>23450</v>
      </c>
      <c r="I238" s="217">
        <f t="shared" si="45"/>
        <v>11264.62</v>
      </c>
      <c r="J238" s="139">
        <f t="shared" si="43"/>
        <v>0.48036759061833695</v>
      </c>
      <c r="K238" s="228"/>
      <c r="L238" s="222"/>
      <c r="M238" s="148"/>
      <c r="N238" s="228"/>
      <c r="O238" s="222"/>
      <c r="P238" s="30"/>
    </row>
    <row r="239" spans="1:16" ht="18.75">
      <c r="A239" s="7"/>
      <c r="B239" s="15"/>
      <c r="C239" s="15">
        <v>4120</v>
      </c>
      <c r="D239" s="296" t="s">
        <v>50</v>
      </c>
      <c r="E239" s="213">
        <v>3500</v>
      </c>
      <c r="F239" s="217">
        <v>1766.16</v>
      </c>
      <c r="G239" s="104">
        <f t="shared" si="42"/>
        <v>0.5046171428571429</v>
      </c>
      <c r="H239" s="213">
        <f t="shared" si="44"/>
        <v>3500</v>
      </c>
      <c r="I239" s="217">
        <f t="shared" si="45"/>
        <v>1766.16</v>
      </c>
      <c r="J239" s="139">
        <f t="shared" si="43"/>
        <v>0.5046171428571429</v>
      </c>
      <c r="K239" s="228"/>
      <c r="L239" s="222"/>
      <c r="M239" s="148"/>
      <c r="N239" s="228"/>
      <c r="O239" s="222"/>
      <c r="P239" s="30"/>
    </row>
    <row r="240" spans="1:16" ht="18.75">
      <c r="A240" s="7"/>
      <c r="B240" s="15"/>
      <c r="C240" s="15">
        <v>4210</v>
      </c>
      <c r="D240" s="296" t="s">
        <v>42</v>
      </c>
      <c r="E240" s="213">
        <v>710</v>
      </c>
      <c r="F240" s="217">
        <v>171.37</v>
      </c>
      <c r="G240" s="104">
        <f t="shared" si="42"/>
        <v>0.2413661971830986</v>
      </c>
      <c r="H240" s="213">
        <f t="shared" si="44"/>
        <v>710</v>
      </c>
      <c r="I240" s="217">
        <f t="shared" si="45"/>
        <v>171.37</v>
      </c>
      <c r="J240" s="139">
        <f t="shared" si="43"/>
        <v>0.2413661971830986</v>
      </c>
      <c r="K240" s="228"/>
      <c r="L240" s="222"/>
      <c r="M240" s="148"/>
      <c r="N240" s="228"/>
      <c r="O240" s="222"/>
      <c r="P240" s="30"/>
    </row>
    <row r="241" spans="1:16" ht="18.75">
      <c r="A241" s="7"/>
      <c r="B241" s="15"/>
      <c r="C241" s="15">
        <v>4240</v>
      </c>
      <c r="D241" s="296" t="s">
        <v>129</v>
      </c>
      <c r="E241" s="213">
        <v>2000</v>
      </c>
      <c r="F241" s="217">
        <v>1454.78</v>
      </c>
      <c r="G241" s="104">
        <f t="shared" si="42"/>
        <v>0.72739</v>
      </c>
      <c r="H241" s="213">
        <f t="shared" si="44"/>
        <v>2000</v>
      </c>
      <c r="I241" s="217">
        <f t="shared" si="45"/>
        <v>1454.78</v>
      </c>
      <c r="J241" s="139">
        <f t="shared" si="43"/>
        <v>0.72739</v>
      </c>
      <c r="K241" s="228"/>
      <c r="L241" s="222"/>
      <c r="M241" s="148"/>
      <c r="N241" s="228"/>
      <c r="O241" s="222"/>
      <c r="P241" s="30"/>
    </row>
    <row r="242" spans="1:16" ht="18.75">
      <c r="A242" s="7"/>
      <c r="B242" s="15"/>
      <c r="C242" s="15">
        <v>4260</v>
      </c>
      <c r="D242" s="296" t="s">
        <v>52</v>
      </c>
      <c r="E242" s="213">
        <v>30350</v>
      </c>
      <c r="F242" s="217">
        <v>17922.9</v>
      </c>
      <c r="G242" s="104">
        <f t="shared" si="42"/>
        <v>0.5905403624382208</v>
      </c>
      <c r="H242" s="213">
        <f t="shared" si="44"/>
        <v>30350</v>
      </c>
      <c r="I242" s="217">
        <f t="shared" si="45"/>
        <v>17922.9</v>
      </c>
      <c r="J242" s="139">
        <f t="shared" si="43"/>
        <v>0.5905403624382208</v>
      </c>
      <c r="K242" s="228"/>
      <c r="L242" s="222"/>
      <c r="M242" s="148"/>
      <c r="N242" s="228"/>
      <c r="O242" s="222"/>
      <c r="P242" s="30"/>
    </row>
    <row r="243" spans="1:16" ht="18.75">
      <c r="A243" s="7"/>
      <c r="B243" s="15"/>
      <c r="C243" s="15">
        <v>4270</v>
      </c>
      <c r="D243" s="296" t="s">
        <v>43</v>
      </c>
      <c r="E243" s="213">
        <v>500</v>
      </c>
      <c r="F243" s="217">
        <v>211.11</v>
      </c>
      <c r="G243" s="104">
        <f t="shared" si="42"/>
        <v>0.42222000000000004</v>
      </c>
      <c r="H243" s="213">
        <f t="shared" si="44"/>
        <v>500</v>
      </c>
      <c r="I243" s="217">
        <f t="shared" si="45"/>
        <v>211.11</v>
      </c>
      <c r="J243" s="139">
        <f t="shared" si="43"/>
        <v>0.42222000000000004</v>
      </c>
      <c r="K243" s="228"/>
      <c r="L243" s="222"/>
      <c r="M243" s="148"/>
      <c r="N243" s="228"/>
      <c r="O243" s="222"/>
      <c r="P243" s="30"/>
    </row>
    <row r="244" spans="1:16" ht="18.75">
      <c r="A244" s="7"/>
      <c r="B244" s="15"/>
      <c r="C244" s="15">
        <v>4280</v>
      </c>
      <c r="D244" s="296" t="s">
        <v>102</v>
      </c>
      <c r="E244" s="213">
        <v>500</v>
      </c>
      <c r="F244" s="217">
        <v>0</v>
      </c>
      <c r="G244" s="104">
        <f t="shared" si="42"/>
        <v>0</v>
      </c>
      <c r="H244" s="213">
        <f t="shared" si="44"/>
        <v>500</v>
      </c>
      <c r="I244" s="217">
        <f t="shared" si="45"/>
        <v>0</v>
      </c>
      <c r="J244" s="139">
        <f t="shared" si="43"/>
        <v>0</v>
      </c>
      <c r="K244" s="228"/>
      <c r="L244" s="222"/>
      <c r="M244" s="148"/>
      <c r="N244" s="228"/>
      <c r="O244" s="222"/>
      <c r="P244" s="30"/>
    </row>
    <row r="245" spans="1:16" ht="18.75">
      <c r="A245" s="7"/>
      <c r="B245" s="15"/>
      <c r="C245" s="15">
        <v>4300</v>
      </c>
      <c r="D245" s="296" t="s">
        <v>44</v>
      </c>
      <c r="E245" s="213">
        <v>5800</v>
      </c>
      <c r="F245" s="217">
        <v>888.75</v>
      </c>
      <c r="G245" s="104">
        <f t="shared" si="42"/>
        <v>0.15323275862068966</v>
      </c>
      <c r="H245" s="213">
        <f t="shared" si="44"/>
        <v>5800</v>
      </c>
      <c r="I245" s="217">
        <f t="shared" si="45"/>
        <v>888.75</v>
      </c>
      <c r="J245" s="139">
        <f t="shared" si="43"/>
        <v>0.15323275862068966</v>
      </c>
      <c r="K245" s="228"/>
      <c r="L245" s="222"/>
      <c r="M245" s="148"/>
      <c r="N245" s="228"/>
      <c r="O245" s="222"/>
      <c r="P245" s="30"/>
    </row>
    <row r="246" spans="1:16" ht="37.5">
      <c r="A246" s="7"/>
      <c r="B246" s="15"/>
      <c r="C246" s="199">
        <v>4370</v>
      </c>
      <c r="D246" s="294" t="s">
        <v>159</v>
      </c>
      <c r="E246" s="213">
        <v>1100</v>
      </c>
      <c r="F246" s="217">
        <v>297.94</v>
      </c>
      <c r="G246" s="104">
        <f t="shared" si="42"/>
        <v>0.27085454545454546</v>
      </c>
      <c r="H246" s="213">
        <f t="shared" si="44"/>
        <v>1100</v>
      </c>
      <c r="I246" s="217">
        <f t="shared" si="45"/>
        <v>297.94</v>
      </c>
      <c r="J246" s="139">
        <f t="shared" si="43"/>
        <v>0.27085454545454546</v>
      </c>
      <c r="K246" s="228"/>
      <c r="L246" s="222"/>
      <c r="M246" s="148"/>
      <c r="N246" s="228"/>
      <c r="O246" s="222"/>
      <c r="P246" s="30"/>
    </row>
    <row r="247" spans="1:16" ht="18.75">
      <c r="A247" s="7"/>
      <c r="B247" s="15"/>
      <c r="C247" s="15">
        <v>4410</v>
      </c>
      <c r="D247" s="296" t="s">
        <v>55</v>
      </c>
      <c r="E247" s="213">
        <v>100</v>
      </c>
      <c r="F247" s="217">
        <v>22.94</v>
      </c>
      <c r="G247" s="104">
        <f t="shared" si="42"/>
        <v>0.22940000000000002</v>
      </c>
      <c r="H247" s="213">
        <f t="shared" si="44"/>
        <v>100</v>
      </c>
      <c r="I247" s="217">
        <f t="shared" si="45"/>
        <v>22.94</v>
      </c>
      <c r="J247" s="139">
        <f t="shared" si="43"/>
        <v>0.22940000000000002</v>
      </c>
      <c r="K247" s="228"/>
      <c r="L247" s="222"/>
      <c r="M247" s="148"/>
      <c r="N247" s="228"/>
      <c r="O247" s="222"/>
      <c r="P247" s="30"/>
    </row>
    <row r="248" spans="1:16" ht="18.75">
      <c r="A248" s="7"/>
      <c r="B248" s="15"/>
      <c r="C248" s="199">
        <v>4430</v>
      </c>
      <c r="D248" s="294" t="s">
        <v>53</v>
      </c>
      <c r="E248" s="213">
        <v>900</v>
      </c>
      <c r="F248" s="217">
        <v>0</v>
      </c>
      <c r="G248" s="104">
        <f t="shared" si="42"/>
        <v>0</v>
      </c>
      <c r="H248" s="213">
        <f t="shared" si="44"/>
        <v>900</v>
      </c>
      <c r="I248" s="217">
        <f t="shared" si="45"/>
        <v>0</v>
      </c>
      <c r="J248" s="139">
        <f t="shared" si="43"/>
        <v>0</v>
      </c>
      <c r="K248" s="228"/>
      <c r="L248" s="222"/>
      <c r="M248" s="148"/>
      <c r="N248" s="228"/>
      <c r="O248" s="222"/>
      <c r="P248" s="30"/>
    </row>
    <row r="249" spans="1:16" ht="18.75">
      <c r="A249" s="7"/>
      <c r="B249" s="15"/>
      <c r="C249" s="15">
        <v>4440</v>
      </c>
      <c r="D249" s="296" t="s">
        <v>124</v>
      </c>
      <c r="E249" s="213">
        <v>7170</v>
      </c>
      <c r="F249" s="217">
        <v>5380</v>
      </c>
      <c r="G249" s="104">
        <f t="shared" si="42"/>
        <v>0.7503486750348675</v>
      </c>
      <c r="H249" s="213">
        <f t="shared" si="44"/>
        <v>7170</v>
      </c>
      <c r="I249" s="217">
        <f t="shared" si="45"/>
        <v>5380</v>
      </c>
      <c r="J249" s="139">
        <f t="shared" si="43"/>
        <v>0.7503486750348675</v>
      </c>
      <c r="K249" s="228"/>
      <c r="L249" s="222"/>
      <c r="M249" s="148"/>
      <c r="N249" s="228"/>
      <c r="O249" s="222"/>
      <c r="P249" s="30"/>
    </row>
    <row r="250" spans="1:16" ht="37.5">
      <c r="A250" s="7"/>
      <c r="B250" s="15"/>
      <c r="C250" s="199">
        <v>4750</v>
      </c>
      <c r="D250" s="294" t="s">
        <v>158</v>
      </c>
      <c r="E250" s="213">
        <v>290</v>
      </c>
      <c r="F250" s="217">
        <v>286.7</v>
      </c>
      <c r="G250" s="104">
        <f t="shared" si="42"/>
        <v>0.9886206896551724</v>
      </c>
      <c r="H250" s="213">
        <f t="shared" si="44"/>
        <v>290</v>
      </c>
      <c r="I250" s="217">
        <f t="shared" si="45"/>
        <v>286.7</v>
      </c>
      <c r="J250" s="139">
        <f t="shared" si="43"/>
        <v>0.9886206896551724</v>
      </c>
      <c r="K250" s="228"/>
      <c r="L250" s="222"/>
      <c r="M250" s="148"/>
      <c r="N250" s="228"/>
      <c r="O250" s="222"/>
      <c r="P250" s="30"/>
    </row>
    <row r="251" spans="1:16" ht="18.75">
      <c r="A251" s="7"/>
      <c r="B251" s="15"/>
      <c r="C251" s="15">
        <v>6050</v>
      </c>
      <c r="D251" s="296" t="s">
        <v>72</v>
      </c>
      <c r="E251" s="213">
        <v>300000</v>
      </c>
      <c r="F251" s="217">
        <v>14126.5</v>
      </c>
      <c r="G251" s="104">
        <f>F251/E251</f>
        <v>0.047088333333333336</v>
      </c>
      <c r="H251" s="213">
        <f t="shared" si="44"/>
        <v>300000</v>
      </c>
      <c r="I251" s="217">
        <f t="shared" si="45"/>
        <v>14126.5</v>
      </c>
      <c r="J251" s="139">
        <f t="shared" si="43"/>
        <v>0.047088333333333336</v>
      </c>
      <c r="K251" s="228"/>
      <c r="L251" s="222"/>
      <c r="M251" s="148"/>
      <c r="N251" s="228"/>
      <c r="O251" s="222"/>
      <c r="P251" s="30"/>
    </row>
    <row r="252" spans="1:16" ht="18.75">
      <c r="A252" s="7"/>
      <c r="B252" s="22">
        <v>80110</v>
      </c>
      <c r="C252" s="22"/>
      <c r="D252" s="22" t="s">
        <v>38</v>
      </c>
      <c r="E252" s="218">
        <f>SUM(E253:E275)</f>
        <v>1786600</v>
      </c>
      <c r="F252" s="218">
        <f>SUM(F253:F275)</f>
        <v>934368.9500000002</v>
      </c>
      <c r="G252" s="103">
        <f aca="true" t="shared" si="46" ref="G252:G274">F252/E252</f>
        <v>0.5229872103436697</v>
      </c>
      <c r="H252" s="218">
        <f>SUM(H253:H275)</f>
        <v>1786600</v>
      </c>
      <c r="I252" s="218">
        <f>SUM(I253:I275)</f>
        <v>934368.9500000002</v>
      </c>
      <c r="J252" s="86">
        <f>I252/H252</f>
        <v>0.5229872103436697</v>
      </c>
      <c r="K252" s="236"/>
      <c r="L252" s="218"/>
      <c r="M252" s="147"/>
      <c r="N252" s="236"/>
      <c r="O252" s="218"/>
      <c r="P252" s="23"/>
    </row>
    <row r="253" spans="1:16" ht="18.75">
      <c r="A253" s="15"/>
      <c r="B253" s="19"/>
      <c r="C253" s="15">
        <v>3020</v>
      </c>
      <c r="D253" s="296" t="s">
        <v>123</v>
      </c>
      <c r="E253" s="213">
        <v>80450</v>
      </c>
      <c r="F253" s="217">
        <v>36458.89</v>
      </c>
      <c r="G253" s="104">
        <f t="shared" si="46"/>
        <v>0.4531869484151647</v>
      </c>
      <c r="H253" s="213">
        <f>E253</f>
        <v>80450</v>
      </c>
      <c r="I253" s="217">
        <f>F253</f>
        <v>36458.89</v>
      </c>
      <c r="J253" s="139">
        <f aca="true" t="shared" si="47" ref="J253:J275">I253/H253</f>
        <v>0.4531869484151647</v>
      </c>
      <c r="K253" s="228"/>
      <c r="L253" s="222"/>
      <c r="M253" s="148"/>
      <c r="N253" s="228"/>
      <c r="O253" s="222"/>
      <c r="P253" s="30"/>
    </row>
    <row r="254" spans="1:16" ht="18.75">
      <c r="A254" s="15"/>
      <c r="B254" s="19"/>
      <c r="C254" s="15">
        <v>4010</v>
      </c>
      <c r="D254" s="296" t="s">
        <v>47</v>
      </c>
      <c r="E254" s="213">
        <v>1000300</v>
      </c>
      <c r="F254" s="217">
        <v>451673.9</v>
      </c>
      <c r="G254" s="104">
        <f t="shared" si="46"/>
        <v>0.4515384384684595</v>
      </c>
      <c r="H254" s="213">
        <f aca="true" t="shared" si="48" ref="H254:H275">E254</f>
        <v>1000300</v>
      </c>
      <c r="I254" s="217">
        <f aca="true" t="shared" si="49" ref="I254:I275">F254</f>
        <v>451673.9</v>
      </c>
      <c r="J254" s="139">
        <f t="shared" si="47"/>
        <v>0.4515384384684595</v>
      </c>
      <c r="K254" s="228"/>
      <c r="L254" s="222"/>
      <c r="M254" s="148"/>
      <c r="N254" s="228"/>
      <c r="O254" s="222"/>
      <c r="P254" s="30"/>
    </row>
    <row r="255" spans="1:16" ht="18.75">
      <c r="A255" s="15"/>
      <c r="B255" s="19"/>
      <c r="C255" s="15">
        <v>4040</v>
      </c>
      <c r="D255" s="296" t="s">
        <v>48</v>
      </c>
      <c r="E255" s="213">
        <v>80650</v>
      </c>
      <c r="F255" s="217">
        <v>76347.66</v>
      </c>
      <c r="G255" s="104">
        <f t="shared" si="46"/>
        <v>0.9466541847489152</v>
      </c>
      <c r="H255" s="213">
        <f t="shared" si="48"/>
        <v>80650</v>
      </c>
      <c r="I255" s="217">
        <f t="shared" si="49"/>
        <v>76347.66</v>
      </c>
      <c r="J255" s="139">
        <f t="shared" si="47"/>
        <v>0.9466541847489152</v>
      </c>
      <c r="K255" s="228"/>
      <c r="L255" s="222"/>
      <c r="M255" s="170"/>
      <c r="N255" s="228"/>
      <c r="O255" s="222"/>
      <c r="P255" s="30"/>
    </row>
    <row r="256" spans="1:16" ht="18.75">
      <c r="A256" s="15"/>
      <c r="B256" s="19"/>
      <c r="C256" s="15">
        <v>4110</v>
      </c>
      <c r="D256" s="296" t="s">
        <v>49</v>
      </c>
      <c r="E256" s="213">
        <v>178700</v>
      </c>
      <c r="F256" s="217">
        <v>73155.44</v>
      </c>
      <c r="G256" s="104">
        <f t="shared" si="46"/>
        <v>0.40937571348628987</v>
      </c>
      <c r="H256" s="213">
        <f t="shared" si="48"/>
        <v>178700</v>
      </c>
      <c r="I256" s="217">
        <f t="shared" si="49"/>
        <v>73155.44</v>
      </c>
      <c r="J256" s="139">
        <f t="shared" si="47"/>
        <v>0.40937571348628987</v>
      </c>
      <c r="K256" s="228"/>
      <c r="L256" s="222"/>
      <c r="M256" s="170"/>
      <c r="N256" s="228"/>
      <c r="O256" s="222"/>
      <c r="P256" s="30"/>
    </row>
    <row r="257" spans="1:16" ht="18.75">
      <c r="A257" s="15"/>
      <c r="B257" s="19"/>
      <c r="C257" s="15">
        <v>4120</v>
      </c>
      <c r="D257" s="296" t="s">
        <v>50</v>
      </c>
      <c r="E257" s="213">
        <v>28300</v>
      </c>
      <c r="F257" s="217">
        <v>12306.66</v>
      </c>
      <c r="G257" s="104">
        <f t="shared" si="46"/>
        <v>0.4348643109540636</v>
      </c>
      <c r="H257" s="213">
        <f t="shared" si="48"/>
        <v>28300</v>
      </c>
      <c r="I257" s="217">
        <f t="shared" si="49"/>
        <v>12306.66</v>
      </c>
      <c r="J257" s="139">
        <f t="shared" si="47"/>
        <v>0.4348643109540636</v>
      </c>
      <c r="K257" s="228"/>
      <c r="L257" s="222"/>
      <c r="M257" s="148"/>
      <c r="N257" s="228"/>
      <c r="O257" s="222"/>
      <c r="P257" s="30"/>
    </row>
    <row r="258" spans="1:16" ht="18.75">
      <c r="A258" s="7"/>
      <c r="B258" s="15"/>
      <c r="C258" s="15">
        <v>4140</v>
      </c>
      <c r="D258" s="296" t="s">
        <v>51</v>
      </c>
      <c r="E258" s="213">
        <v>11000</v>
      </c>
      <c r="F258" s="217">
        <v>5535</v>
      </c>
      <c r="G258" s="104">
        <f t="shared" si="46"/>
        <v>0.5031818181818182</v>
      </c>
      <c r="H258" s="213">
        <f t="shared" si="48"/>
        <v>11000</v>
      </c>
      <c r="I258" s="217">
        <f t="shared" si="49"/>
        <v>5535</v>
      </c>
      <c r="J258" s="139">
        <f t="shared" si="47"/>
        <v>0.5031818181818182</v>
      </c>
      <c r="K258" s="228"/>
      <c r="L258" s="222"/>
      <c r="M258" s="148"/>
      <c r="N258" s="228"/>
      <c r="O258" s="222"/>
      <c r="P258" s="30"/>
    </row>
    <row r="259" spans="1:16" ht="18.75">
      <c r="A259" s="7"/>
      <c r="B259" s="15"/>
      <c r="C259" s="15">
        <v>4170</v>
      </c>
      <c r="D259" s="296" t="s">
        <v>98</v>
      </c>
      <c r="E259" s="213">
        <v>1650</v>
      </c>
      <c r="F259" s="217">
        <v>0</v>
      </c>
      <c r="G259" s="104">
        <f t="shared" si="46"/>
        <v>0</v>
      </c>
      <c r="H259" s="213">
        <f t="shared" si="48"/>
        <v>1650</v>
      </c>
      <c r="I259" s="217">
        <f t="shared" si="49"/>
        <v>0</v>
      </c>
      <c r="J259" s="139">
        <f t="shared" si="47"/>
        <v>0</v>
      </c>
      <c r="K259" s="228"/>
      <c r="L259" s="222"/>
      <c r="M259" s="148"/>
      <c r="N259" s="228"/>
      <c r="O259" s="222"/>
      <c r="P259" s="30"/>
    </row>
    <row r="260" spans="1:16" ht="18.75">
      <c r="A260" s="15"/>
      <c r="B260" s="19"/>
      <c r="C260" s="15">
        <v>4210</v>
      </c>
      <c r="D260" s="296" t="s">
        <v>42</v>
      </c>
      <c r="E260" s="213">
        <v>44350</v>
      </c>
      <c r="F260" s="217">
        <v>37348</v>
      </c>
      <c r="G260" s="104">
        <f t="shared" si="46"/>
        <v>0.842119503945885</v>
      </c>
      <c r="H260" s="213">
        <f t="shared" si="48"/>
        <v>44350</v>
      </c>
      <c r="I260" s="217">
        <f t="shared" si="49"/>
        <v>37348</v>
      </c>
      <c r="J260" s="139">
        <f t="shared" si="47"/>
        <v>0.842119503945885</v>
      </c>
      <c r="K260" s="228"/>
      <c r="L260" s="222"/>
      <c r="M260" s="148"/>
      <c r="N260" s="228"/>
      <c r="O260" s="222"/>
      <c r="P260" s="30"/>
    </row>
    <row r="261" spans="1:16" ht="18.75">
      <c r="A261" s="15"/>
      <c r="B261" s="19"/>
      <c r="C261" s="15">
        <v>4240</v>
      </c>
      <c r="D261" s="296" t="s">
        <v>129</v>
      </c>
      <c r="E261" s="213">
        <v>7340</v>
      </c>
      <c r="F261" s="217">
        <v>2900.57</v>
      </c>
      <c r="G261" s="104">
        <f t="shared" si="46"/>
        <v>0.3951730245231608</v>
      </c>
      <c r="H261" s="213">
        <f t="shared" si="48"/>
        <v>7340</v>
      </c>
      <c r="I261" s="217">
        <f t="shared" si="49"/>
        <v>2900.57</v>
      </c>
      <c r="J261" s="139">
        <f t="shared" si="47"/>
        <v>0.3951730245231608</v>
      </c>
      <c r="K261" s="228"/>
      <c r="L261" s="222"/>
      <c r="M261" s="148"/>
      <c r="N261" s="228"/>
      <c r="O261" s="222"/>
      <c r="P261" s="30"/>
    </row>
    <row r="262" spans="1:16" ht="18.75">
      <c r="A262" s="15"/>
      <c r="B262" s="19"/>
      <c r="C262" s="15">
        <v>4260</v>
      </c>
      <c r="D262" s="296" t="s">
        <v>52</v>
      </c>
      <c r="E262" s="213">
        <v>145950</v>
      </c>
      <c r="F262" s="217">
        <v>116646.55</v>
      </c>
      <c r="G262" s="104">
        <f t="shared" si="46"/>
        <v>0.7992226789996575</v>
      </c>
      <c r="H262" s="213">
        <f t="shared" si="48"/>
        <v>145950</v>
      </c>
      <c r="I262" s="217">
        <f t="shared" si="49"/>
        <v>116646.55</v>
      </c>
      <c r="J262" s="139">
        <f t="shared" si="47"/>
        <v>0.7992226789996575</v>
      </c>
      <c r="K262" s="228"/>
      <c r="L262" s="222"/>
      <c r="M262" s="148"/>
      <c r="N262" s="228"/>
      <c r="O262" s="222"/>
      <c r="P262" s="30"/>
    </row>
    <row r="263" spans="1:16" ht="18.75">
      <c r="A263" s="15"/>
      <c r="B263" s="19"/>
      <c r="C263" s="15">
        <v>4270</v>
      </c>
      <c r="D263" s="296" t="s">
        <v>43</v>
      </c>
      <c r="E263" s="213">
        <v>29800</v>
      </c>
      <c r="F263" s="217">
        <v>23611.21</v>
      </c>
      <c r="G263" s="104">
        <f t="shared" si="46"/>
        <v>0.7923224832214765</v>
      </c>
      <c r="H263" s="213">
        <f t="shared" si="48"/>
        <v>29800</v>
      </c>
      <c r="I263" s="217">
        <f t="shared" si="49"/>
        <v>23611.21</v>
      </c>
      <c r="J263" s="139">
        <f t="shared" si="47"/>
        <v>0.7923224832214765</v>
      </c>
      <c r="K263" s="228"/>
      <c r="L263" s="222"/>
      <c r="M263" s="148"/>
      <c r="N263" s="228"/>
      <c r="O263" s="222"/>
      <c r="P263" s="30"/>
    </row>
    <row r="264" spans="1:16" ht="18.75">
      <c r="A264" s="15"/>
      <c r="B264" s="19"/>
      <c r="C264" s="15">
        <v>4280</v>
      </c>
      <c r="D264" s="296" t="s">
        <v>102</v>
      </c>
      <c r="E264" s="213">
        <v>2600</v>
      </c>
      <c r="F264" s="217">
        <v>40</v>
      </c>
      <c r="G264" s="104">
        <f t="shared" si="46"/>
        <v>0.015384615384615385</v>
      </c>
      <c r="H264" s="213">
        <f t="shared" si="48"/>
        <v>2600</v>
      </c>
      <c r="I264" s="217">
        <f t="shared" si="49"/>
        <v>40</v>
      </c>
      <c r="J264" s="139">
        <f t="shared" si="47"/>
        <v>0.015384615384615385</v>
      </c>
      <c r="K264" s="228"/>
      <c r="L264" s="222"/>
      <c r="M264" s="148"/>
      <c r="N264" s="228"/>
      <c r="O264" s="222"/>
      <c r="P264" s="30"/>
    </row>
    <row r="265" spans="1:16" ht="18.75">
      <c r="A265" s="15"/>
      <c r="B265" s="19"/>
      <c r="C265" s="15">
        <v>4300</v>
      </c>
      <c r="D265" s="296" t="s">
        <v>44</v>
      </c>
      <c r="E265" s="213">
        <v>24600</v>
      </c>
      <c r="F265" s="217">
        <v>16955.16</v>
      </c>
      <c r="G265" s="104">
        <f t="shared" si="46"/>
        <v>0.6892341463414634</v>
      </c>
      <c r="H265" s="213">
        <f t="shared" si="48"/>
        <v>24600</v>
      </c>
      <c r="I265" s="217">
        <f t="shared" si="49"/>
        <v>16955.16</v>
      </c>
      <c r="J265" s="139">
        <f t="shared" si="47"/>
        <v>0.6892341463414634</v>
      </c>
      <c r="K265" s="228"/>
      <c r="L265" s="222"/>
      <c r="M265" s="148"/>
      <c r="N265" s="228"/>
      <c r="O265" s="222"/>
      <c r="P265" s="30"/>
    </row>
    <row r="266" spans="1:16" ht="18.75">
      <c r="A266" s="15"/>
      <c r="B266" s="19"/>
      <c r="C266" s="15">
        <v>4350</v>
      </c>
      <c r="D266" s="296" t="s">
        <v>104</v>
      </c>
      <c r="E266" s="213">
        <v>2400</v>
      </c>
      <c r="F266" s="217">
        <v>976</v>
      </c>
      <c r="G266" s="104">
        <f t="shared" si="46"/>
        <v>0.4066666666666667</v>
      </c>
      <c r="H266" s="213">
        <f t="shared" si="48"/>
        <v>2400</v>
      </c>
      <c r="I266" s="217">
        <f t="shared" si="49"/>
        <v>976</v>
      </c>
      <c r="J266" s="139">
        <f t="shared" si="47"/>
        <v>0.4066666666666667</v>
      </c>
      <c r="K266" s="228"/>
      <c r="L266" s="222"/>
      <c r="M266" s="148"/>
      <c r="N266" s="228"/>
      <c r="O266" s="222"/>
      <c r="P266" s="30"/>
    </row>
    <row r="267" spans="1:16" ht="37.5">
      <c r="A267" s="15"/>
      <c r="B267" s="19"/>
      <c r="C267" s="199">
        <v>4360</v>
      </c>
      <c r="D267" s="294" t="s">
        <v>160</v>
      </c>
      <c r="E267" s="213">
        <v>1300</v>
      </c>
      <c r="F267" s="217">
        <v>504.05</v>
      </c>
      <c r="G267" s="104">
        <f t="shared" si="46"/>
        <v>0.3877307692307692</v>
      </c>
      <c r="H267" s="213">
        <f t="shared" si="48"/>
        <v>1300</v>
      </c>
      <c r="I267" s="217">
        <f t="shared" si="49"/>
        <v>504.05</v>
      </c>
      <c r="J267" s="139">
        <f t="shared" si="47"/>
        <v>0.3877307692307692</v>
      </c>
      <c r="K267" s="228"/>
      <c r="L267" s="222"/>
      <c r="M267" s="148"/>
      <c r="N267" s="228"/>
      <c r="O267" s="222"/>
      <c r="P267" s="30"/>
    </row>
    <row r="268" spans="1:16" ht="37.5">
      <c r="A268" s="15"/>
      <c r="B268" s="19"/>
      <c r="C268" s="199">
        <v>4370</v>
      </c>
      <c r="D268" s="294" t="s">
        <v>159</v>
      </c>
      <c r="E268" s="213">
        <v>2500</v>
      </c>
      <c r="F268" s="217">
        <v>1281.58</v>
      </c>
      <c r="G268" s="104">
        <f t="shared" si="46"/>
        <v>0.512632</v>
      </c>
      <c r="H268" s="213">
        <f t="shared" si="48"/>
        <v>2500</v>
      </c>
      <c r="I268" s="217">
        <f t="shared" si="49"/>
        <v>1281.58</v>
      </c>
      <c r="J268" s="139">
        <f t="shared" si="47"/>
        <v>0.512632</v>
      </c>
      <c r="K268" s="228"/>
      <c r="L268" s="222"/>
      <c r="M268" s="148"/>
      <c r="N268" s="228"/>
      <c r="O268" s="222"/>
      <c r="P268" s="30"/>
    </row>
    <row r="269" spans="1:16" ht="18.75">
      <c r="A269" s="15"/>
      <c r="B269" s="19"/>
      <c r="C269" s="15">
        <v>4410</v>
      </c>
      <c r="D269" s="296" t="s">
        <v>55</v>
      </c>
      <c r="E269" s="213">
        <v>3200</v>
      </c>
      <c r="F269" s="217">
        <v>1604.4</v>
      </c>
      <c r="G269" s="104">
        <f t="shared" si="46"/>
        <v>0.501375</v>
      </c>
      <c r="H269" s="213">
        <f t="shared" si="48"/>
        <v>3200</v>
      </c>
      <c r="I269" s="217">
        <f t="shared" si="49"/>
        <v>1604.4</v>
      </c>
      <c r="J269" s="139">
        <f t="shared" si="47"/>
        <v>0.501375</v>
      </c>
      <c r="K269" s="228"/>
      <c r="L269" s="222"/>
      <c r="M269" s="148"/>
      <c r="N269" s="228"/>
      <c r="O269" s="222"/>
      <c r="P269" s="30"/>
    </row>
    <row r="270" spans="1:16" ht="18.75">
      <c r="A270" s="15"/>
      <c r="B270" s="19"/>
      <c r="C270" s="15">
        <v>4430</v>
      </c>
      <c r="D270" s="296" t="s">
        <v>53</v>
      </c>
      <c r="E270" s="213">
        <v>1300</v>
      </c>
      <c r="F270" s="217">
        <v>0</v>
      </c>
      <c r="G270" s="104">
        <f t="shared" si="46"/>
        <v>0</v>
      </c>
      <c r="H270" s="213">
        <f t="shared" si="48"/>
        <v>1300</v>
      </c>
      <c r="I270" s="217">
        <f t="shared" si="49"/>
        <v>0</v>
      </c>
      <c r="J270" s="139">
        <f t="shared" si="47"/>
        <v>0</v>
      </c>
      <c r="K270" s="228"/>
      <c r="L270" s="222"/>
      <c r="M270" s="148"/>
      <c r="N270" s="228"/>
      <c r="O270" s="222"/>
      <c r="P270" s="30"/>
    </row>
    <row r="271" spans="1:16" ht="18.75">
      <c r="A271" s="15"/>
      <c r="B271" s="19"/>
      <c r="C271" s="15">
        <v>4440</v>
      </c>
      <c r="D271" s="296" t="s">
        <v>124</v>
      </c>
      <c r="E271" s="213">
        <v>71710</v>
      </c>
      <c r="F271" s="217">
        <v>53780</v>
      </c>
      <c r="G271" s="104">
        <f t="shared" si="46"/>
        <v>0.7499651373588063</v>
      </c>
      <c r="H271" s="213">
        <f t="shared" si="48"/>
        <v>71710</v>
      </c>
      <c r="I271" s="217">
        <f t="shared" si="49"/>
        <v>53780</v>
      </c>
      <c r="J271" s="139">
        <f t="shared" si="47"/>
        <v>0.7499651373588063</v>
      </c>
      <c r="K271" s="228"/>
      <c r="L271" s="222"/>
      <c r="M271" s="148"/>
      <c r="N271" s="228"/>
      <c r="O271" s="222"/>
      <c r="P271" s="30"/>
    </row>
    <row r="272" spans="1:16" ht="37.5">
      <c r="A272" s="15"/>
      <c r="B272" s="19"/>
      <c r="C272" s="199">
        <v>4700</v>
      </c>
      <c r="D272" s="294" t="s">
        <v>161</v>
      </c>
      <c r="E272" s="213">
        <v>1400</v>
      </c>
      <c r="F272" s="217">
        <v>152.5</v>
      </c>
      <c r="G272" s="104">
        <f t="shared" si="46"/>
        <v>0.10892857142857143</v>
      </c>
      <c r="H272" s="213">
        <f t="shared" si="48"/>
        <v>1400</v>
      </c>
      <c r="I272" s="217">
        <f t="shared" si="49"/>
        <v>152.5</v>
      </c>
      <c r="J272" s="139">
        <f t="shared" si="47"/>
        <v>0.10892857142857143</v>
      </c>
      <c r="K272" s="228"/>
      <c r="L272" s="222"/>
      <c r="M272" s="148"/>
      <c r="N272" s="228"/>
      <c r="O272" s="222"/>
      <c r="P272" s="30"/>
    </row>
    <row r="273" spans="1:16" ht="37.5">
      <c r="A273" s="15"/>
      <c r="B273" s="19"/>
      <c r="C273" s="199">
        <v>4740</v>
      </c>
      <c r="D273" s="294" t="s">
        <v>157</v>
      </c>
      <c r="E273" s="213">
        <v>1200</v>
      </c>
      <c r="F273" s="217">
        <v>0</v>
      </c>
      <c r="G273" s="104">
        <f t="shared" si="46"/>
        <v>0</v>
      </c>
      <c r="H273" s="213">
        <f t="shared" si="48"/>
        <v>1200</v>
      </c>
      <c r="I273" s="217">
        <f t="shared" si="49"/>
        <v>0</v>
      </c>
      <c r="J273" s="139">
        <f t="shared" si="47"/>
        <v>0</v>
      </c>
      <c r="K273" s="228"/>
      <c r="L273" s="222"/>
      <c r="M273" s="148"/>
      <c r="N273" s="228"/>
      <c r="O273" s="222"/>
      <c r="P273" s="30"/>
    </row>
    <row r="274" spans="1:16" ht="37.5">
      <c r="A274" s="15"/>
      <c r="B274" s="19"/>
      <c r="C274" s="199">
        <v>4750</v>
      </c>
      <c r="D274" s="294" t="s">
        <v>158</v>
      </c>
      <c r="E274" s="213">
        <v>5900</v>
      </c>
      <c r="F274" s="217">
        <v>2351.38</v>
      </c>
      <c r="G274" s="104">
        <f t="shared" si="46"/>
        <v>0.39853898305084745</v>
      </c>
      <c r="H274" s="213">
        <f t="shared" si="48"/>
        <v>5900</v>
      </c>
      <c r="I274" s="217">
        <f t="shared" si="49"/>
        <v>2351.38</v>
      </c>
      <c r="J274" s="139">
        <f t="shared" si="47"/>
        <v>0.39853898305084745</v>
      </c>
      <c r="K274" s="228"/>
      <c r="L274" s="222"/>
      <c r="M274" s="148"/>
      <c r="N274" s="228"/>
      <c r="O274" s="222"/>
      <c r="P274" s="30"/>
    </row>
    <row r="275" spans="1:16" ht="18.75">
      <c r="A275" s="15"/>
      <c r="B275" s="19"/>
      <c r="C275" s="15">
        <v>6050</v>
      </c>
      <c r="D275" s="296" t="s">
        <v>72</v>
      </c>
      <c r="E275" s="213">
        <v>60000</v>
      </c>
      <c r="F275" s="217">
        <v>20740</v>
      </c>
      <c r="G275" s="104">
        <f>F275/E275</f>
        <v>0.3456666666666667</v>
      </c>
      <c r="H275" s="213">
        <f t="shared" si="48"/>
        <v>60000</v>
      </c>
      <c r="I275" s="217">
        <f t="shared" si="49"/>
        <v>20740</v>
      </c>
      <c r="J275" s="139">
        <f t="shared" si="47"/>
        <v>0.3456666666666667</v>
      </c>
      <c r="K275" s="228"/>
      <c r="L275" s="222"/>
      <c r="M275" s="148"/>
      <c r="N275" s="228"/>
      <c r="O275" s="222"/>
      <c r="P275" s="30"/>
    </row>
    <row r="276" spans="1:16" ht="18.75">
      <c r="A276" s="15"/>
      <c r="B276" s="22">
        <v>80113</v>
      </c>
      <c r="C276" s="22"/>
      <c r="D276" s="22" t="s">
        <v>62</v>
      </c>
      <c r="E276" s="218">
        <f>SUM(E277:E290)</f>
        <v>307250</v>
      </c>
      <c r="F276" s="218">
        <f>SUM(F277:F290)</f>
        <v>155819.32</v>
      </c>
      <c r="G276" s="103">
        <f aca="true" t="shared" si="50" ref="G276:G289">F276/E276</f>
        <v>0.5071418063466233</v>
      </c>
      <c r="H276" s="218">
        <f>SUM(H277:H290)</f>
        <v>307250</v>
      </c>
      <c r="I276" s="218">
        <f>SUM(I277:I290)</f>
        <v>155819.32</v>
      </c>
      <c r="J276" s="86">
        <f aca="true" t="shared" si="51" ref="J276:J290">I276/H276</f>
        <v>0.5071418063466233</v>
      </c>
      <c r="K276" s="229"/>
      <c r="L276" s="224"/>
      <c r="M276" s="153"/>
      <c r="N276" s="229"/>
      <c r="O276" s="224"/>
      <c r="P276" s="154"/>
    </row>
    <row r="277" spans="1:16" ht="56.25">
      <c r="A277" s="15"/>
      <c r="B277" s="19"/>
      <c r="C277" s="199">
        <v>2820</v>
      </c>
      <c r="D277" s="295" t="s">
        <v>130</v>
      </c>
      <c r="E277" s="213">
        <v>68240</v>
      </c>
      <c r="F277" s="217">
        <v>34120</v>
      </c>
      <c r="G277" s="104">
        <f t="shared" si="50"/>
        <v>0.5</v>
      </c>
      <c r="H277" s="213">
        <f>E277</f>
        <v>68240</v>
      </c>
      <c r="I277" s="217">
        <f>F277</f>
        <v>34120</v>
      </c>
      <c r="J277" s="139">
        <f t="shared" si="51"/>
        <v>0.5</v>
      </c>
      <c r="K277" s="228"/>
      <c r="L277" s="222"/>
      <c r="M277" s="148"/>
      <c r="N277" s="228"/>
      <c r="O277" s="222"/>
      <c r="P277" s="30"/>
    </row>
    <row r="278" spans="1:16" ht="18.75">
      <c r="A278" s="15"/>
      <c r="B278" s="19"/>
      <c r="C278" s="15">
        <v>3020</v>
      </c>
      <c r="D278" s="296" t="s">
        <v>123</v>
      </c>
      <c r="E278" s="213">
        <v>300</v>
      </c>
      <c r="F278" s="217">
        <v>134.54</v>
      </c>
      <c r="G278" s="104">
        <f t="shared" si="50"/>
        <v>0.4484666666666666</v>
      </c>
      <c r="H278" s="213">
        <f aca="true" t="shared" si="52" ref="H278:H290">E278</f>
        <v>300</v>
      </c>
      <c r="I278" s="217">
        <f aca="true" t="shared" si="53" ref="I278:I290">F278</f>
        <v>134.54</v>
      </c>
      <c r="J278" s="139">
        <f t="shared" si="51"/>
        <v>0.4484666666666666</v>
      </c>
      <c r="K278" s="228"/>
      <c r="L278" s="222"/>
      <c r="M278" s="148"/>
      <c r="N278" s="228"/>
      <c r="O278" s="222"/>
      <c r="P278" s="30"/>
    </row>
    <row r="279" spans="1:16" ht="18.75">
      <c r="A279" s="15"/>
      <c r="B279" s="19"/>
      <c r="C279" s="15">
        <v>4010</v>
      </c>
      <c r="D279" s="296" t="s">
        <v>47</v>
      </c>
      <c r="E279" s="213">
        <v>36000</v>
      </c>
      <c r="F279" s="217">
        <v>15238.87</v>
      </c>
      <c r="G279" s="104">
        <f t="shared" si="50"/>
        <v>0.42330194444444447</v>
      </c>
      <c r="H279" s="213">
        <f t="shared" si="52"/>
        <v>36000</v>
      </c>
      <c r="I279" s="217">
        <f t="shared" si="53"/>
        <v>15238.87</v>
      </c>
      <c r="J279" s="139">
        <f t="shared" si="51"/>
        <v>0.42330194444444447</v>
      </c>
      <c r="K279" s="228"/>
      <c r="L279" s="222"/>
      <c r="M279" s="148"/>
      <c r="N279" s="228"/>
      <c r="O279" s="222"/>
      <c r="P279" s="30"/>
    </row>
    <row r="280" spans="1:16" ht="18.75">
      <c r="A280" s="15"/>
      <c r="B280" s="19"/>
      <c r="C280" s="15">
        <v>4040</v>
      </c>
      <c r="D280" s="296" t="s">
        <v>48</v>
      </c>
      <c r="E280" s="213">
        <v>2900</v>
      </c>
      <c r="F280" s="217">
        <v>2692.57</v>
      </c>
      <c r="G280" s="104">
        <f t="shared" si="50"/>
        <v>0.9284724137931035</v>
      </c>
      <c r="H280" s="213">
        <f t="shared" si="52"/>
        <v>2900</v>
      </c>
      <c r="I280" s="217">
        <f t="shared" si="53"/>
        <v>2692.57</v>
      </c>
      <c r="J280" s="139">
        <f t="shared" si="51"/>
        <v>0.9284724137931035</v>
      </c>
      <c r="K280" s="228"/>
      <c r="L280" s="222"/>
      <c r="M280" s="148"/>
      <c r="N280" s="228"/>
      <c r="O280" s="222"/>
      <c r="P280" s="30"/>
    </row>
    <row r="281" spans="1:16" ht="18.75">
      <c r="A281" s="15"/>
      <c r="B281" s="19"/>
      <c r="C281" s="15">
        <v>4110</v>
      </c>
      <c r="D281" s="296" t="s">
        <v>49</v>
      </c>
      <c r="E281" s="213">
        <v>6190</v>
      </c>
      <c r="F281" s="217">
        <v>2530.52</v>
      </c>
      <c r="G281" s="104">
        <f t="shared" si="50"/>
        <v>0.40880775444264944</v>
      </c>
      <c r="H281" s="213">
        <f t="shared" si="52"/>
        <v>6190</v>
      </c>
      <c r="I281" s="217">
        <f t="shared" si="53"/>
        <v>2530.52</v>
      </c>
      <c r="J281" s="139">
        <f t="shared" si="51"/>
        <v>0.40880775444264944</v>
      </c>
      <c r="K281" s="228"/>
      <c r="L281" s="222"/>
      <c r="M281" s="148"/>
      <c r="N281" s="228"/>
      <c r="O281" s="222"/>
      <c r="P281" s="30"/>
    </row>
    <row r="282" spans="1:16" ht="18.75">
      <c r="A282" s="15"/>
      <c r="B282" s="19"/>
      <c r="C282" s="15">
        <v>4120</v>
      </c>
      <c r="D282" s="296" t="s">
        <v>50</v>
      </c>
      <c r="E282" s="213">
        <v>1000</v>
      </c>
      <c r="F282" s="217">
        <v>386.41</v>
      </c>
      <c r="G282" s="104">
        <f t="shared" si="50"/>
        <v>0.38641000000000003</v>
      </c>
      <c r="H282" s="213">
        <f t="shared" si="52"/>
        <v>1000</v>
      </c>
      <c r="I282" s="217">
        <f t="shared" si="53"/>
        <v>386.41</v>
      </c>
      <c r="J282" s="139">
        <f t="shared" si="51"/>
        <v>0.38641000000000003</v>
      </c>
      <c r="K282" s="228"/>
      <c r="L282" s="222"/>
      <c r="M282" s="148"/>
      <c r="N282" s="228"/>
      <c r="O282" s="222"/>
      <c r="P282" s="30"/>
    </row>
    <row r="283" spans="1:16" ht="18.75">
      <c r="A283" s="15"/>
      <c r="B283" s="19"/>
      <c r="C283" s="15">
        <v>4170</v>
      </c>
      <c r="D283" s="296" t="s">
        <v>98</v>
      </c>
      <c r="E283" s="213">
        <v>5550</v>
      </c>
      <c r="F283" s="217">
        <v>4234.3</v>
      </c>
      <c r="G283" s="104">
        <f t="shared" si="50"/>
        <v>0.762936936936937</v>
      </c>
      <c r="H283" s="213">
        <f t="shared" si="52"/>
        <v>5550</v>
      </c>
      <c r="I283" s="217">
        <f t="shared" si="53"/>
        <v>4234.3</v>
      </c>
      <c r="J283" s="139">
        <f t="shared" si="51"/>
        <v>0.762936936936937</v>
      </c>
      <c r="K283" s="228"/>
      <c r="L283" s="222"/>
      <c r="M283" s="148"/>
      <c r="N283" s="228"/>
      <c r="O283" s="222"/>
      <c r="P283" s="30"/>
    </row>
    <row r="284" spans="1:16" ht="18.75">
      <c r="A284" s="15"/>
      <c r="B284" s="19"/>
      <c r="C284" s="15">
        <v>4210</v>
      </c>
      <c r="D284" s="296" t="s">
        <v>42</v>
      </c>
      <c r="E284" s="213">
        <v>33306</v>
      </c>
      <c r="F284" s="217">
        <v>18215.43</v>
      </c>
      <c r="G284" s="104">
        <f t="shared" si="50"/>
        <v>0.5469113673212034</v>
      </c>
      <c r="H284" s="213">
        <f t="shared" si="52"/>
        <v>33306</v>
      </c>
      <c r="I284" s="217">
        <f t="shared" si="53"/>
        <v>18215.43</v>
      </c>
      <c r="J284" s="139">
        <f t="shared" si="51"/>
        <v>0.5469113673212034</v>
      </c>
      <c r="K284" s="228"/>
      <c r="L284" s="222"/>
      <c r="M284" s="148"/>
      <c r="N284" s="228"/>
      <c r="O284" s="222"/>
      <c r="P284" s="30"/>
    </row>
    <row r="285" spans="1:16" ht="18.75">
      <c r="A285" s="15"/>
      <c r="B285" s="19"/>
      <c r="C285" s="15">
        <v>4270</v>
      </c>
      <c r="D285" s="296" t="s">
        <v>43</v>
      </c>
      <c r="E285" s="213">
        <v>5850</v>
      </c>
      <c r="F285" s="217">
        <v>3086.6</v>
      </c>
      <c r="G285" s="104">
        <f t="shared" si="50"/>
        <v>0.5276239316239316</v>
      </c>
      <c r="H285" s="213">
        <f t="shared" si="52"/>
        <v>5850</v>
      </c>
      <c r="I285" s="217">
        <f t="shared" si="53"/>
        <v>3086.6</v>
      </c>
      <c r="J285" s="139">
        <f t="shared" si="51"/>
        <v>0.5276239316239316</v>
      </c>
      <c r="K285" s="228"/>
      <c r="L285" s="222"/>
      <c r="M285" s="148"/>
      <c r="N285" s="228"/>
      <c r="O285" s="222"/>
      <c r="P285" s="30"/>
    </row>
    <row r="286" spans="1:16" ht="18.75">
      <c r="A286" s="15"/>
      <c r="B286" s="19"/>
      <c r="C286" s="15">
        <v>4280</v>
      </c>
      <c r="D286" s="296" t="s">
        <v>102</v>
      </c>
      <c r="E286" s="213">
        <v>120</v>
      </c>
      <c r="F286" s="217">
        <v>0</v>
      </c>
      <c r="G286" s="104">
        <f t="shared" si="50"/>
        <v>0</v>
      </c>
      <c r="H286" s="213">
        <f t="shared" si="52"/>
        <v>120</v>
      </c>
      <c r="I286" s="217">
        <f t="shared" si="53"/>
        <v>0</v>
      </c>
      <c r="J286" s="139">
        <f t="shared" si="51"/>
        <v>0</v>
      </c>
      <c r="K286" s="228"/>
      <c r="L286" s="222"/>
      <c r="M286" s="148"/>
      <c r="N286" s="228"/>
      <c r="O286" s="222"/>
      <c r="P286" s="30"/>
    </row>
    <row r="287" spans="1:16" ht="18.75">
      <c r="A287" s="15"/>
      <c r="B287" s="19"/>
      <c r="C287" s="15">
        <v>4300</v>
      </c>
      <c r="D287" s="296" t="s">
        <v>44</v>
      </c>
      <c r="E287" s="213">
        <v>140140</v>
      </c>
      <c r="F287" s="217">
        <v>68376.08</v>
      </c>
      <c r="G287" s="104">
        <f t="shared" si="50"/>
        <v>0.48791265876980167</v>
      </c>
      <c r="H287" s="213">
        <f t="shared" si="52"/>
        <v>140140</v>
      </c>
      <c r="I287" s="217">
        <f t="shared" si="53"/>
        <v>68376.08</v>
      </c>
      <c r="J287" s="139">
        <f t="shared" si="51"/>
        <v>0.48791265876980167</v>
      </c>
      <c r="K287" s="228"/>
      <c r="L287" s="222"/>
      <c r="M287" s="148"/>
      <c r="N287" s="228"/>
      <c r="O287" s="222"/>
      <c r="P287" s="30"/>
    </row>
    <row r="288" spans="1:16" ht="18.75">
      <c r="A288" s="15"/>
      <c r="B288" s="19"/>
      <c r="C288" s="15">
        <v>4430</v>
      </c>
      <c r="D288" s="296" t="s">
        <v>53</v>
      </c>
      <c r="E288" s="213">
        <v>6044</v>
      </c>
      <c r="F288" s="217">
        <v>6044</v>
      </c>
      <c r="G288" s="104">
        <f t="shared" si="50"/>
        <v>1</v>
      </c>
      <c r="H288" s="213">
        <f t="shared" si="52"/>
        <v>6044</v>
      </c>
      <c r="I288" s="217">
        <f t="shared" si="53"/>
        <v>6044</v>
      </c>
      <c r="J288" s="139">
        <f t="shared" si="51"/>
        <v>1</v>
      </c>
      <c r="K288" s="228"/>
      <c r="L288" s="222"/>
      <c r="M288" s="148"/>
      <c r="N288" s="228"/>
      <c r="O288" s="222"/>
      <c r="P288" s="30"/>
    </row>
    <row r="289" spans="1:16" ht="18.75">
      <c r="A289" s="15"/>
      <c r="B289" s="15"/>
      <c r="C289" s="15">
        <v>4440</v>
      </c>
      <c r="D289" s="296" t="s">
        <v>124</v>
      </c>
      <c r="E289" s="213">
        <v>1010</v>
      </c>
      <c r="F289" s="217">
        <v>760</v>
      </c>
      <c r="G289" s="104">
        <f t="shared" si="50"/>
        <v>0.7524752475247525</v>
      </c>
      <c r="H289" s="213">
        <f t="shared" si="52"/>
        <v>1010</v>
      </c>
      <c r="I289" s="217">
        <f t="shared" si="53"/>
        <v>760</v>
      </c>
      <c r="J289" s="139">
        <f t="shared" si="51"/>
        <v>0.7524752475247525</v>
      </c>
      <c r="K289" s="228"/>
      <c r="L289" s="222"/>
      <c r="M289" s="148"/>
      <c r="N289" s="228"/>
      <c r="O289" s="222"/>
      <c r="P289" s="30"/>
    </row>
    <row r="290" spans="1:16" ht="37.5">
      <c r="A290" s="15"/>
      <c r="B290" s="15"/>
      <c r="C290" s="199">
        <v>4700</v>
      </c>
      <c r="D290" s="294" t="s">
        <v>161</v>
      </c>
      <c r="E290" s="213">
        <v>600</v>
      </c>
      <c r="F290" s="217">
        <v>0</v>
      </c>
      <c r="G290" s="104">
        <f>F290/E290</f>
        <v>0</v>
      </c>
      <c r="H290" s="213">
        <f t="shared" si="52"/>
        <v>600</v>
      </c>
      <c r="I290" s="217">
        <f t="shared" si="53"/>
        <v>0</v>
      </c>
      <c r="J290" s="139">
        <f t="shared" si="51"/>
        <v>0</v>
      </c>
      <c r="K290" s="228"/>
      <c r="L290" s="222"/>
      <c r="M290" s="148"/>
      <c r="N290" s="228"/>
      <c r="O290" s="222"/>
      <c r="P290" s="30"/>
    </row>
    <row r="291" spans="1:16" ht="18.75">
      <c r="A291" s="15"/>
      <c r="B291" s="22">
        <v>80120</v>
      </c>
      <c r="C291" s="22"/>
      <c r="D291" s="22" t="s">
        <v>63</v>
      </c>
      <c r="E291" s="218">
        <f>SUM(E292:E302)</f>
        <v>97620</v>
      </c>
      <c r="F291" s="218">
        <f>SUM(F292:F302)</f>
        <v>69960.11</v>
      </c>
      <c r="G291" s="103">
        <f aca="true" t="shared" si="54" ref="G291:G301">F291/E291</f>
        <v>0.7166575496824421</v>
      </c>
      <c r="H291" s="218">
        <f>SUM(H292:H302)</f>
        <v>97620</v>
      </c>
      <c r="I291" s="218">
        <f>SUM(I292:I302)</f>
        <v>69960.11</v>
      </c>
      <c r="J291" s="86">
        <f>I291/H291</f>
        <v>0.7166575496824421</v>
      </c>
      <c r="K291" s="229"/>
      <c r="L291" s="224"/>
      <c r="M291" s="153"/>
      <c r="N291" s="229"/>
      <c r="O291" s="224"/>
      <c r="P291" s="154"/>
    </row>
    <row r="292" spans="1:16" ht="18.75">
      <c r="A292" s="15"/>
      <c r="B292" s="19"/>
      <c r="C292" s="15">
        <v>3020</v>
      </c>
      <c r="D292" s="296" t="s">
        <v>123</v>
      </c>
      <c r="E292" s="213">
        <v>2850</v>
      </c>
      <c r="F292" s="217">
        <v>2099</v>
      </c>
      <c r="G292" s="104">
        <f t="shared" si="54"/>
        <v>0.7364912280701754</v>
      </c>
      <c r="H292" s="213">
        <f>E292</f>
        <v>2850</v>
      </c>
      <c r="I292" s="217">
        <f>F292</f>
        <v>2099</v>
      </c>
      <c r="J292" s="139">
        <f aca="true" t="shared" si="55" ref="J292:J297">I292/H292</f>
        <v>0.7364912280701754</v>
      </c>
      <c r="K292" s="228"/>
      <c r="L292" s="222"/>
      <c r="M292" s="148"/>
      <c r="N292" s="228"/>
      <c r="O292" s="222"/>
      <c r="P292" s="30"/>
    </row>
    <row r="293" spans="1:16" ht="18.75">
      <c r="A293" s="15"/>
      <c r="B293" s="19"/>
      <c r="C293" s="15">
        <v>4010</v>
      </c>
      <c r="D293" s="296" t="s">
        <v>47</v>
      </c>
      <c r="E293" s="213">
        <v>64170</v>
      </c>
      <c r="F293" s="217">
        <v>43913.45</v>
      </c>
      <c r="G293" s="104">
        <f t="shared" si="54"/>
        <v>0.6843299049400031</v>
      </c>
      <c r="H293" s="213">
        <f aca="true" t="shared" si="56" ref="H293:H302">E293</f>
        <v>64170</v>
      </c>
      <c r="I293" s="217">
        <f aca="true" t="shared" si="57" ref="I293:I302">F293</f>
        <v>43913.45</v>
      </c>
      <c r="J293" s="139">
        <f t="shared" si="55"/>
        <v>0.6843299049400031</v>
      </c>
      <c r="K293" s="228"/>
      <c r="L293" s="222"/>
      <c r="M293" s="148"/>
      <c r="N293" s="228"/>
      <c r="O293" s="222"/>
      <c r="P293" s="30"/>
    </row>
    <row r="294" spans="1:16" ht="18.75">
      <c r="A294" s="15"/>
      <c r="B294" s="19"/>
      <c r="C294" s="15">
        <v>4040</v>
      </c>
      <c r="D294" s="296" t="s">
        <v>48</v>
      </c>
      <c r="E294" s="213">
        <v>6350</v>
      </c>
      <c r="F294" s="217">
        <v>6261.42</v>
      </c>
      <c r="G294" s="104">
        <f t="shared" si="54"/>
        <v>0.9860503937007874</v>
      </c>
      <c r="H294" s="213">
        <f t="shared" si="56"/>
        <v>6350</v>
      </c>
      <c r="I294" s="217">
        <f t="shared" si="57"/>
        <v>6261.42</v>
      </c>
      <c r="J294" s="139">
        <f t="shared" si="55"/>
        <v>0.9860503937007874</v>
      </c>
      <c r="K294" s="228"/>
      <c r="L294" s="222"/>
      <c r="M294" s="148"/>
      <c r="N294" s="228"/>
      <c r="O294" s="222"/>
      <c r="P294" s="30"/>
    </row>
    <row r="295" spans="1:16" ht="18.75">
      <c r="A295" s="15"/>
      <c r="B295" s="19"/>
      <c r="C295" s="15">
        <v>4110</v>
      </c>
      <c r="D295" s="296" t="s">
        <v>49</v>
      </c>
      <c r="E295" s="213">
        <v>11300</v>
      </c>
      <c r="F295" s="217">
        <v>6800.69</v>
      </c>
      <c r="G295" s="104">
        <f t="shared" si="54"/>
        <v>0.6018309734513274</v>
      </c>
      <c r="H295" s="213">
        <f t="shared" si="56"/>
        <v>11300</v>
      </c>
      <c r="I295" s="217">
        <f t="shared" si="57"/>
        <v>6800.69</v>
      </c>
      <c r="J295" s="139">
        <f t="shared" si="55"/>
        <v>0.6018309734513274</v>
      </c>
      <c r="K295" s="228"/>
      <c r="L295" s="222"/>
      <c r="M295" s="148"/>
      <c r="N295" s="228"/>
      <c r="O295" s="222"/>
      <c r="P295" s="30"/>
    </row>
    <row r="296" spans="1:16" ht="18.75">
      <c r="A296" s="15"/>
      <c r="B296" s="19"/>
      <c r="C296" s="15">
        <v>4120</v>
      </c>
      <c r="D296" s="296" t="s">
        <v>50</v>
      </c>
      <c r="E296" s="213">
        <v>1790</v>
      </c>
      <c r="F296" s="217">
        <v>1284.8</v>
      </c>
      <c r="G296" s="104">
        <f t="shared" si="54"/>
        <v>0.7177653631284916</v>
      </c>
      <c r="H296" s="213">
        <f t="shared" si="56"/>
        <v>1790</v>
      </c>
      <c r="I296" s="217">
        <f t="shared" si="57"/>
        <v>1284.8</v>
      </c>
      <c r="J296" s="139">
        <f t="shared" si="55"/>
        <v>0.7177653631284916</v>
      </c>
      <c r="K296" s="228"/>
      <c r="L296" s="222"/>
      <c r="M296" s="148"/>
      <c r="N296" s="228"/>
      <c r="O296" s="222"/>
      <c r="P296" s="30"/>
    </row>
    <row r="297" spans="1:16" ht="18.75">
      <c r="A297" s="15"/>
      <c r="B297" s="19"/>
      <c r="C297" s="15">
        <v>4260</v>
      </c>
      <c r="D297" s="296" t="s">
        <v>52</v>
      </c>
      <c r="E297" s="213">
        <v>7690</v>
      </c>
      <c r="F297" s="217">
        <v>7573.5</v>
      </c>
      <c r="G297" s="104">
        <f t="shared" si="54"/>
        <v>0.984850455136541</v>
      </c>
      <c r="H297" s="213">
        <f t="shared" si="56"/>
        <v>7690</v>
      </c>
      <c r="I297" s="217">
        <f t="shared" si="57"/>
        <v>7573.5</v>
      </c>
      <c r="J297" s="139">
        <f t="shared" si="55"/>
        <v>0.984850455136541</v>
      </c>
      <c r="K297" s="228"/>
      <c r="L297" s="222"/>
      <c r="M297" s="148"/>
      <c r="N297" s="228"/>
      <c r="O297" s="222"/>
      <c r="P297" s="30"/>
    </row>
    <row r="298" spans="1:16" ht="18.75">
      <c r="A298" s="15"/>
      <c r="B298" s="19"/>
      <c r="C298" s="15">
        <v>4300</v>
      </c>
      <c r="D298" s="296" t="s">
        <v>44</v>
      </c>
      <c r="E298" s="213">
        <v>200</v>
      </c>
      <c r="F298" s="217">
        <v>36.4</v>
      </c>
      <c r="G298" s="104">
        <f t="shared" si="54"/>
        <v>0.182</v>
      </c>
      <c r="H298" s="213">
        <f t="shared" si="56"/>
        <v>200</v>
      </c>
      <c r="I298" s="217">
        <f t="shared" si="57"/>
        <v>36.4</v>
      </c>
      <c r="J298" s="139">
        <f>I298/H298</f>
        <v>0.182</v>
      </c>
      <c r="K298" s="228"/>
      <c r="L298" s="222"/>
      <c r="M298" s="148"/>
      <c r="N298" s="228"/>
      <c r="O298" s="222"/>
      <c r="P298" s="30"/>
    </row>
    <row r="299" spans="1:16" ht="37.5">
      <c r="A299" s="15"/>
      <c r="B299" s="19"/>
      <c r="C299" s="199">
        <v>4370</v>
      </c>
      <c r="D299" s="294" t="s">
        <v>159</v>
      </c>
      <c r="E299" s="213">
        <v>200</v>
      </c>
      <c r="F299" s="217">
        <v>26.3</v>
      </c>
      <c r="G299" s="104">
        <f t="shared" si="54"/>
        <v>0.1315</v>
      </c>
      <c r="H299" s="213">
        <f t="shared" si="56"/>
        <v>200</v>
      </c>
      <c r="I299" s="217">
        <f t="shared" si="57"/>
        <v>26.3</v>
      </c>
      <c r="J299" s="139">
        <f>I299/H299</f>
        <v>0.1315</v>
      </c>
      <c r="K299" s="228"/>
      <c r="L299" s="222"/>
      <c r="M299" s="148"/>
      <c r="N299" s="228"/>
      <c r="O299" s="222"/>
      <c r="P299" s="30"/>
    </row>
    <row r="300" spans="1:16" ht="18.75">
      <c r="A300" s="15"/>
      <c r="B300" s="19"/>
      <c r="C300" s="15">
        <v>4410</v>
      </c>
      <c r="D300" s="296" t="s">
        <v>55</v>
      </c>
      <c r="E300" s="213">
        <v>400</v>
      </c>
      <c r="F300" s="217">
        <v>0</v>
      </c>
      <c r="G300" s="104">
        <f t="shared" si="54"/>
        <v>0</v>
      </c>
      <c r="H300" s="213">
        <f t="shared" si="56"/>
        <v>400</v>
      </c>
      <c r="I300" s="217">
        <f t="shared" si="57"/>
        <v>0</v>
      </c>
      <c r="J300" s="139">
        <f>I300/H300</f>
        <v>0</v>
      </c>
      <c r="K300" s="228"/>
      <c r="L300" s="222"/>
      <c r="M300" s="148"/>
      <c r="N300" s="228"/>
      <c r="O300" s="222"/>
      <c r="P300" s="30"/>
    </row>
    <row r="301" spans="1:16" ht="18.75">
      <c r="A301" s="15"/>
      <c r="B301" s="19"/>
      <c r="C301" s="15">
        <v>4440</v>
      </c>
      <c r="D301" s="296" t="s">
        <v>124</v>
      </c>
      <c r="E301" s="213">
        <v>2570</v>
      </c>
      <c r="F301" s="217">
        <v>1930</v>
      </c>
      <c r="G301" s="104">
        <f t="shared" si="54"/>
        <v>0.7509727626459144</v>
      </c>
      <c r="H301" s="213">
        <f t="shared" si="56"/>
        <v>2570</v>
      </c>
      <c r="I301" s="217">
        <f t="shared" si="57"/>
        <v>1930</v>
      </c>
      <c r="J301" s="139">
        <f>I301/H301</f>
        <v>0.7509727626459144</v>
      </c>
      <c r="K301" s="228"/>
      <c r="L301" s="222"/>
      <c r="M301" s="148"/>
      <c r="N301" s="228"/>
      <c r="O301" s="222"/>
      <c r="P301" s="30"/>
    </row>
    <row r="302" spans="1:16" ht="37.5">
      <c r="A302" s="15"/>
      <c r="B302" s="19"/>
      <c r="C302" s="199">
        <v>4740</v>
      </c>
      <c r="D302" s="294" t="s">
        <v>157</v>
      </c>
      <c r="E302" s="213">
        <v>100</v>
      </c>
      <c r="F302" s="217">
        <v>34.55</v>
      </c>
      <c r="G302" s="104">
        <f aca="true" t="shared" si="58" ref="G302:G307">F302/E302</f>
        <v>0.3455</v>
      </c>
      <c r="H302" s="213">
        <f t="shared" si="56"/>
        <v>100</v>
      </c>
      <c r="I302" s="217">
        <f t="shared" si="57"/>
        <v>34.55</v>
      </c>
      <c r="J302" s="139">
        <f>I302/H302</f>
        <v>0.3455</v>
      </c>
      <c r="K302" s="228"/>
      <c r="L302" s="222"/>
      <c r="M302" s="148"/>
      <c r="N302" s="228"/>
      <c r="O302" s="222"/>
      <c r="P302" s="30"/>
    </row>
    <row r="303" spans="1:16" ht="18.75">
      <c r="A303" s="15"/>
      <c r="B303" s="22">
        <v>80146</v>
      </c>
      <c r="C303" s="22"/>
      <c r="D303" s="22" t="s">
        <v>64</v>
      </c>
      <c r="E303" s="218">
        <f>SUM(E304:E307)</f>
        <v>29330</v>
      </c>
      <c r="F303" s="218">
        <f>SUM(F304:F307)</f>
        <v>7659.24</v>
      </c>
      <c r="G303" s="103">
        <f t="shared" si="58"/>
        <v>0.2611401295601773</v>
      </c>
      <c r="H303" s="218">
        <f>SUM(H304:H307)</f>
        <v>29330</v>
      </c>
      <c r="I303" s="218">
        <f>SUM(I304:I307)</f>
        <v>7659.24</v>
      </c>
      <c r="J303" s="86">
        <f aca="true" t="shared" si="59" ref="J303:J308">I303/H303</f>
        <v>0.2611401295601773</v>
      </c>
      <c r="K303" s="236"/>
      <c r="L303" s="218"/>
      <c r="M303" s="147"/>
      <c r="N303" s="236"/>
      <c r="O303" s="218"/>
      <c r="P303" s="23"/>
    </row>
    <row r="304" spans="1:16" ht="18.75">
      <c r="A304" s="15"/>
      <c r="B304" s="19"/>
      <c r="C304" s="15">
        <v>4210</v>
      </c>
      <c r="D304" s="296" t="s">
        <v>42</v>
      </c>
      <c r="E304" s="213">
        <v>8680</v>
      </c>
      <c r="F304" s="214">
        <v>0</v>
      </c>
      <c r="G304" s="104">
        <f t="shared" si="58"/>
        <v>0</v>
      </c>
      <c r="H304" s="213">
        <f aca="true" t="shared" si="60" ref="H304:I307">E304</f>
        <v>8680</v>
      </c>
      <c r="I304" s="214">
        <f t="shared" si="60"/>
        <v>0</v>
      </c>
      <c r="J304" s="139">
        <f t="shared" si="59"/>
        <v>0</v>
      </c>
      <c r="K304" s="228"/>
      <c r="L304" s="222"/>
      <c r="M304" s="148"/>
      <c r="N304" s="228"/>
      <c r="O304" s="222"/>
      <c r="P304" s="30"/>
    </row>
    <row r="305" spans="1:16" ht="18.75">
      <c r="A305" s="15"/>
      <c r="B305" s="19"/>
      <c r="C305" s="15">
        <v>4300</v>
      </c>
      <c r="D305" s="296" t="s">
        <v>44</v>
      </c>
      <c r="E305" s="213">
        <v>9350</v>
      </c>
      <c r="F305" s="214">
        <v>2300</v>
      </c>
      <c r="G305" s="104">
        <f t="shared" si="58"/>
        <v>0.24598930481283424</v>
      </c>
      <c r="H305" s="213">
        <f t="shared" si="60"/>
        <v>9350</v>
      </c>
      <c r="I305" s="214">
        <f t="shared" si="60"/>
        <v>2300</v>
      </c>
      <c r="J305" s="139">
        <f t="shared" si="59"/>
        <v>0.24598930481283424</v>
      </c>
      <c r="K305" s="228"/>
      <c r="L305" s="222"/>
      <c r="M305" s="148"/>
      <c r="N305" s="228"/>
      <c r="O305" s="222"/>
      <c r="P305" s="30"/>
    </row>
    <row r="306" spans="1:16" ht="18.75">
      <c r="A306" s="15"/>
      <c r="B306" s="19"/>
      <c r="C306" s="15">
        <v>4410</v>
      </c>
      <c r="D306" s="296" t="s">
        <v>55</v>
      </c>
      <c r="E306" s="213">
        <v>4800</v>
      </c>
      <c r="F306" s="214">
        <v>1424.24</v>
      </c>
      <c r="G306" s="104">
        <f t="shared" si="58"/>
        <v>0.2967166666666667</v>
      </c>
      <c r="H306" s="213">
        <f t="shared" si="60"/>
        <v>4800</v>
      </c>
      <c r="I306" s="214">
        <f t="shared" si="60"/>
        <v>1424.24</v>
      </c>
      <c r="J306" s="139">
        <f t="shared" si="59"/>
        <v>0.2967166666666667</v>
      </c>
      <c r="K306" s="228"/>
      <c r="L306" s="222"/>
      <c r="M306" s="148"/>
      <c r="N306" s="228"/>
      <c r="O306" s="222"/>
      <c r="P306" s="30"/>
    </row>
    <row r="307" spans="1:16" ht="37.5">
      <c r="A307" s="15"/>
      <c r="B307" s="19"/>
      <c r="C307" s="199">
        <v>4700</v>
      </c>
      <c r="D307" s="295" t="s">
        <v>161</v>
      </c>
      <c r="E307" s="213">
        <v>6500</v>
      </c>
      <c r="F307" s="217">
        <v>3935</v>
      </c>
      <c r="G307" s="104">
        <f t="shared" si="58"/>
        <v>0.6053846153846154</v>
      </c>
      <c r="H307" s="213">
        <f t="shared" si="60"/>
        <v>6500</v>
      </c>
      <c r="I307" s="214">
        <f t="shared" si="60"/>
        <v>3935</v>
      </c>
      <c r="J307" s="139">
        <f t="shared" si="59"/>
        <v>0.6053846153846154</v>
      </c>
      <c r="K307" s="228"/>
      <c r="L307" s="222"/>
      <c r="M307" s="148"/>
      <c r="N307" s="228"/>
      <c r="O307" s="222"/>
      <c r="P307" s="30"/>
    </row>
    <row r="308" spans="1:16" ht="18.75">
      <c r="A308" s="15"/>
      <c r="B308" s="324">
        <v>80148</v>
      </c>
      <c r="C308" s="22"/>
      <c r="D308" s="22" t="s">
        <v>187</v>
      </c>
      <c r="E308" s="218">
        <f>SUM(E309:E321)</f>
        <v>160370</v>
      </c>
      <c r="F308" s="218">
        <f>SUM(F309:F321)</f>
        <v>83452.59999999999</v>
      </c>
      <c r="G308" s="103">
        <f aca="true" t="shared" si="61" ref="G308:G320">F308/E308</f>
        <v>0.5203753819292884</v>
      </c>
      <c r="H308" s="218">
        <f>SUM(H309:H321)</f>
        <v>160370</v>
      </c>
      <c r="I308" s="218">
        <f>SUM(I309:I321)</f>
        <v>83452.59999999999</v>
      </c>
      <c r="J308" s="164">
        <f t="shared" si="59"/>
        <v>0.5203753819292884</v>
      </c>
      <c r="K308" s="229"/>
      <c r="L308" s="224"/>
      <c r="M308" s="153"/>
      <c r="N308" s="229"/>
      <c r="O308" s="224"/>
      <c r="P308" s="154"/>
    </row>
    <row r="309" spans="1:16" ht="18.75">
      <c r="A309" s="15"/>
      <c r="B309" s="19"/>
      <c r="C309" s="15">
        <v>3020</v>
      </c>
      <c r="D309" s="296" t="s">
        <v>123</v>
      </c>
      <c r="E309" s="213">
        <v>2450</v>
      </c>
      <c r="F309" s="217">
        <v>1905.62</v>
      </c>
      <c r="G309" s="104">
        <f t="shared" si="61"/>
        <v>0.777804081632653</v>
      </c>
      <c r="H309" s="213">
        <f>E309</f>
        <v>2450</v>
      </c>
      <c r="I309" s="217">
        <f>F309</f>
        <v>1905.62</v>
      </c>
      <c r="J309" s="139">
        <f aca="true" t="shared" si="62" ref="J309:J321">I309/H309</f>
        <v>0.777804081632653</v>
      </c>
      <c r="K309" s="228"/>
      <c r="L309" s="222"/>
      <c r="M309" s="148"/>
      <c r="N309" s="228"/>
      <c r="O309" s="222"/>
      <c r="P309" s="30"/>
    </row>
    <row r="310" spans="1:16" ht="18.75">
      <c r="A310" s="15"/>
      <c r="B310" s="19"/>
      <c r="C310" s="15">
        <v>4010</v>
      </c>
      <c r="D310" s="296" t="s">
        <v>47</v>
      </c>
      <c r="E310" s="213">
        <v>86320</v>
      </c>
      <c r="F310" s="217">
        <v>42458.38</v>
      </c>
      <c r="G310" s="104">
        <f t="shared" si="61"/>
        <v>0.4918718721037998</v>
      </c>
      <c r="H310" s="213">
        <f aca="true" t="shared" si="63" ref="H310:H321">E310</f>
        <v>86320</v>
      </c>
      <c r="I310" s="217">
        <f aca="true" t="shared" si="64" ref="I310:I321">F310</f>
        <v>42458.38</v>
      </c>
      <c r="J310" s="139">
        <f t="shared" si="62"/>
        <v>0.4918718721037998</v>
      </c>
      <c r="K310" s="228"/>
      <c r="L310" s="222"/>
      <c r="M310" s="148"/>
      <c r="N310" s="228"/>
      <c r="O310" s="222"/>
      <c r="P310" s="30"/>
    </row>
    <row r="311" spans="1:16" ht="18.75">
      <c r="A311" s="15"/>
      <c r="B311" s="19"/>
      <c r="C311" s="15">
        <v>4040</v>
      </c>
      <c r="D311" s="296" t="s">
        <v>48</v>
      </c>
      <c r="E311" s="213">
        <v>7250</v>
      </c>
      <c r="F311" s="217">
        <v>7207.21</v>
      </c>
      <c r="G311" s="104">
        <f t="shared" si="61"/>
        <v>0.9940979310344827</v>
      </c>
      <c r="H311" s="213">
        <f t="shared" si="63"/>
        <v>7250</v>
      </c>
      <c r="I311" s="217">
        <f t="shared" si="64"/>
        <v>7207.21</v>
      </c>
      <c r="J311" s="139">
        <f t="shared" si="62"/>
        <v>0.9940979310344827</v>
      </c>
      <c r="K311" s="228"/>
      <c r="L311" s="222"/>
      <c r="M311" s="148"/>
      <c r="N311" s="228"/>
      <c r="O311" s="222"/>
      <c r="P311" s="30"/>
    </row>
    <row r="312" spans="1:16" ht="18.75">
      <c r="A312" s="15"/>
      <c r="B312" s="19"/>
      <c r="C312" s="15">
        <v>4110</v>
      </c>
      <c r="D312" s="296" t="s">
        <v>49</v>
      </c>
      <c r="E312" s="213">
        <v>14470</v>
      </c>
      <c r="F312" s="217">
        <v>6741.6</v>
      </c>
      <c r="G312" s="104">
        <f t="shared" si="61"/>
        <v>0.46590186592950933</v>
      </c>
      <c r="H312" s="213">
        <f t="shared" si="63"/>
        <v>14470</v>
      </c>
      <c r="I312" s="217">
        <f t="shared" si="64"/>
        <v>6741.6</v>
      </c>
      <c r="J312" s="139">
        <f t="shared" si="62"/>
        <v>0.46590186592950933</v>
      </c>
      <c r="K312" s="228"/>
      <c r="L312" s="222"/>
      <c r="M312" s="148"/>
      <c r="N312" s="228"/>
      <c r="O312" s="222"/>
      <c r="P312" s="30"/>
    </row>
    <row r="313" spans="1:16" ht="18.75">
      <c r="A313" s="15"/>
      <c r="B313" s="19"/>
      <c r="C313" s="15">
        <v>4120</v>
      </c>
      <c r="D313" s="296" t="s">
        <v>50</v>
      </c>
      <c r="E313" s="213">
        <v>2290</v>
      </c>
      <c r="F313" s="217">
        <v>1254.49</v>
      </c>
      <c r="G313" s="104">
        <f t="shared" si="61"/>
        <v>0.5478122270742358</v>
      </c>
      <c r="H313" s="213">
        <f t="shared" si="63"/>
        <v>2290</v>
      </c>
      <c r="I313" s="217">
        <f t="shared" si="64"/>
        <v>1254.49</v>
      </c>
      <c r="J313" s="139">
        <f t="shared" si="62"/>
        <v>0.5478122270742358</v>
      </c>
      <c r="K313" s="228"/>
      <c r="L313" s="222"/>
      <c r="M313" s="148"/>
      <c r="N313" s="228"/>
      <c r="O313" s="222"/>
      <c r="P313" s="30"/>
    </row>
    <row r="314" spans="1:16" ht="18.75">
      <c r="A314" s="15"/>
      <c r="B314" s="19"/>
      <c r="C314" s="15">
        <v>4210</v>
      </c>
      <c r="D314" s="296" t="s">
        <v>42</v>
      </c>
      <c r="E314" s="213">
        <v>8600</v>
      </c>
      <c r="F314" s="217">
        <v>2379.45</v>
      </c>
      <c r="G314" s="104">
        <f t="shared" si="61"/>
        <v>0.2766802325581395</v>
      </c>
      <c r="H314" s="213">
        <f t="shared" si="63"/>
        <v>8600</v>
      </c>
      <c r="I314" s="217">
        <f t="shared" si="64"/>
        <v>2379.45</v>
      </c>
      <c r="J314" s="139">
        <f t="shared" si="62"/>
        <v>0.2766802325581395</v>
      </c>
      <c r="K314" s="228"/>
      <c r="L314" s="222"/>
      <c r="M314" s="148"/>
      <c r="N314" s="228"/>
      <c r="O314" s="222"/>
      <c r="P314" s="30"/>
    </row>
    <row r="315" spans="1:16" ht="18.75">
      <c r="A315" s="15"/>
      <c r="B315" s="19"/>
      <c r="C315" s="15">
        <v>4260</v>
      </c>
      <c r="D315" s="296" t="s">
        <v>52</v>
      </c>
      <c r="E315" s="213">
        <v>25200</v>
      </c>
      <c r="F315" s="217">
        <v>15275.94</v>
      </c>
      <c r="G315" s="104">
        <f t="shared" si="61"/>
        <v>0.6061880952380952</v>
      </c>
      <c r="H315" s="213">
        <f t="shared" si="63"/>
        <v>25200</v>
      </c>
      <c r="I315" s="217">
        <f t="shared" si="64"/>
        <v>15275.94</v>
      </c>
      <c r="J315" s="139">
        <f t="shared" si="62"/>
        <v>0.6061880952380952</v>
      </c>
      <c r="K315" s="228"/>
      <c r="L315" s="222"/>
      <c r="M315" s="148"/>
      <c r="N315" s="228"/>
      <c r="O315" s="222"/>
      <c r="P315" s="30"/>
    </row>
    <row r="316" spans="1:16" ht="18.75">
      <c r="A316" s="15"/>
      <c r="B316" s="19"/>
      <c r="C316" s="15">
        <v>4270</v>
      </c>
      <c r="D316" s="296" t="s">
        <v>43</v>
      </c>
      <c r="E316" s="213">
        <v>3000</v>
      </c>
      <c r="F316" s="217">
        <v>0</v>
      </c>
      <c r="G316" s="104">
        <f t="shared" si="61"/>
        <v>0</v>
      </c>
      <c r="H316" s="213">
        <f t="shared" si="63"/>
        <v>3000</v>
      </c>
      <c r="I316" s="217">
        <f t="shared" si="64"/>
        <v>0</v>
      </c>
      <c r="J316" s="139">
        <f t="shared" si="62"/>
        <v>0</v>
      </c>
      <c r="K316" s="228"/>
      <c r="L316" s="222"/>
      <c r="M316" s="148"/>
      <c r="N316" s="228"/>
      <c r="O316" s="222"/>
      <c r="P316" s="30"/>
    </row>
    <row r="317" spans="1:16" ht="18.75">
      <c r="A317" s="15"/>
      <c r="B317" s="19"/>
      <c r="C317" s="15">
        <v>4280</v>
      </c>
      <c r="D317" s="296" t="s">
        <v>102</v>
      </c>
      <c r="E317" s="213">
        <v>350</v>
      </c>
      <c r="F317" s="217">
        <v>54</v>
      </c>
      <c r="G317" s="104">
        <f t="shared" si="61"/>
        <v>0.15428571428571428</v>
      </c>
      <c r="H317" s="213">
        <f t="shared" si="63"/>
        <v>350</v>
      </c>
      <c r="I317" s="217">
        <f t="shared" si="64"/>
        <v>54</v>
      </c>
      <c r="J317" s="139">
        <f t="shared" si="62"/>
        <v>0.15428571428571428</v>
      </c>
      <c r="K317" s="228"/>
      <c r="L317" s="222"/>
      <c r="M317" s="148"/>
      <c r="N317" s="228"/>
      <c r="O317" s="222"/>
      <c r="P317" s="30"/>
    </row>
    <row r="318" spans="1:16" ht="18.75">
      <c r="A318" s="15"/>
      <c r="B318" s="19"/>
      <c r="C318" s="15">
        <v>4300</v>
      </c>
      <c r="D318" s="296" t="s">
        <v>44</v>
      </c>
      <c r="E318" s="213">
        <v>6000</v>
      </c>
      <c r="F318" s="217">
        <v>3145.91</v>
      </c>
      <c r="G318" s="104">
        <f t="shared" si="61"/>
        <v>0.5243183333333333</v>
      </c>
      <c r="H318" s="213">
        <f t="shared" si="63"/>
        <v>6000</v>
      </c>
      <c r="I318" s="217">
        <f t="shared" si="64"/>
        <v>3145.91</v>
      </c>
      <c r="J318" s="139">
        <f t="shared" si="62"/>
        <v>0.5243183333333333</v>
      </c>
      <c r="K318" s="228"/>
      <c r="L318" s="222"/>
      <c r="M318" s="148"/>
      <c r="N318" s="228"/>
      <c r="O318" s="222"/>
      <c r="P318" s="30"/>
    </row>
    <row r="319" spans="1:16" ht="17.25" customHeight="1">
      <c r="A319" s="15"/>
      <c r="B319" s="19"/>
      <c r="C319" s="15">
        <v>4440</v>
      </c>
      <c r="D319" s="296" t="s">
        <v>124</v>
      </c>
      <c r="E319" s="213">
        <v>4040</v>
      </c>
      <c r="F319" s="217">
        <v>3030</v>
      </c>
      <c r="G319" s="104">
        <f t="shared" si="61"/>
        <v>0.75</v>
      </c>
      <c r="H319" s="213">
        <f t="shared" si="63"/>
        <v>4040</v>
      </c>
      <c r="I319" s="217">
        <f t="shared" si="64"/>
        <v>3030</v>
      </c>
      <c r="J319" s="139">
        <f t="shared" si="62"/>
        <v>0.75</v>
      </c>
      <c r="K319" s="228"/>
      <c r="L319" s="222"/>
      <c r="M319" s="148"/>
      <c r="N319" s="228"/>
      <c r="O319" s="222"/>
      <c r="P319" s="30"/>
    </row>
    <row r="320" spans="1:16" ht="40.5" customHeight="1">
      <c r="A320" s="15"/>
      <c r="B320" s="19"/>
      <c r="C320" s="199">
        <v>4740</v>
      </c>
      <c r="D320" s="294" t="s">
        <v>157</v>
      </c>
      <c r="E320" s="213">
        <v>200</v>
      </c>
      <c r="F320" s="217">
        <v>0</v>
      </c>
      <c r="G320" s="104">
        <f t="shared" si="61"/>
        <v>0</v>
      </c>
      <c r="H320" s="213">
        <f t="shared" si="63"/>
        <v>200</v>
      </c>
      <c r="I320" s="217">
        <f t="shared" si="64"/>
        <v>0</v>
      </c>
      <c r="J320" s="139">
        <f t="shared" si="62"/>
        <v>0</v>
      </c>
      <c r="K320" s="228"/>
      <c r="L320" s="222"/>
      <c r="M320" s="148"/>
      <c r="N320" s="228"/>
      <c r="O320" s="222"/>
      <c r="P320" s="30"/>
    </row>
    <row r="321" spans="1:16" ht="40.5" customHeight="1">
      <c r="A321" s="15"/>
      <c r="B321" s="19"/>
      <c r="C321" s="199">
        <v>4750</v>
      </c>
      <c r="D321" s="294" t="s">
        <v>158</v>
      </c>
      <c r="E321" s="213">
        <v>200</v>
      </c>
      <c r="F321" s="217">
        <v>0</v>
      </c>
      <c r="G321" s="104">
        <f aca="true" t="shared" si="65" ref="G321:G328">F321/E321</f>
        <v>0</v>
      </c>
      <c r="H321" s="213">
        <f t="shared" si="63"/>
        <v>200</v>
      </c>
      <c r="I321" s="217">
        <f t="shared" si="64"/>
        <v>0</v>
      </c>
      <c r="J321" s="139">
        <f t="shared" si="62"/>
        <v>0</v>
      </c>
      <c r="K321" s="228"/>
      <c r="L321" s="222"/>
      <c r="M321" s="148"/>
      <c r="N321" s="228"/>
      <c r="O321" s="222"/>
      <c r="P321" s="30"/>
    </row>
    <row r="322" spans="1:16" ht="18.75">
      <c r="A322" s="15"/>
      <c r="B322" s="22">
        <v>80195</v>
      </c>
      <c r="C322" s="22"/>
      <c r="D322" s="22" t="s">
        <v>4</v>
      </c>
      <c r="E322" s="218">
        <f>SUM(E323:E324)</f>
        <v>45860</v>
      </c>
      <c r="F322" s="218">
        <f>SUM(F323:F324)</f>
        <v>33710</v>
      </c>
      <c r="G322" s="103">
        <f t="shared" si="65"/>
        <v>0.7350632359354557</v>
      </c>
      <c r="H322" s="218">
        <f>SUM(H323:H324)</f>
        <v>45860</v>
      </c>
      <c r="I322" s="218">
        <f>SUM(I323:I324)</f>
        <v>33710</v>
      </c>
      <c r="J322" s="86">
        <f>I322/H322</f>
        <v>0.7350632359354557</v>
      </c>
      <c r="K322" s="236"/>
      <c r="L322" s="218"/>
      <c r="M322" s="147"/>
      <c r="N322" s="236"/>
      <c r="O322" s="218"/>
      <c r="P322" s="23"/>
    </row>
    <row r="323" spans="1:16" ht="18.75">
      <c r="A323" s="15"/>
      <c r="B323" s="15"/>
      <c r="C323" s="15">
        <v>4170</v>
      </c>
      <c r="D323" s="296" t="s">
        <v>98</v>
      </c>
      <c r="E323" s="213">
        <v>900</v>
      </c>
      <c r="F323" s="214">
        <v>0</v>
      </c>
      <c r="G323" s="104">
        <f t="shared" si="65"/>
        <v>0</v>
      </c>
      <c r="H323" s="213">
        <f>E323</f>
        <v>900</v>
      </c>
      <c r="I323" s="214">
        <f>F323</f>
        <v>0</v>
      </c>
      <c r="J323" s="139">
        <f>I323/H323</f>
        <v>0</v>
      </c>
      <c r="K323" s="225"/>
      <c r="L323" s="211"/>
      <c r="M323" s="130"/>
      <c r="N323" s="225"/>
      <c r="O323" s="211"/>
      <c r="P323" s="26"/>
    </row>
    <row r="324" spans="1:16" ht="19.5" thickBot="1">
      <c r="A324" s="15"/>
      <c r="B324" s="15"/>
      <c r="C324" s="15">
        <v>4440</v>
      </c>
      <c r="D324" s="296" t="s">
        <v>124</v>
      </c>
      <c r="E324" s="213">
        <v>44960</v>
      </c>
      <c r="F324" s="214">
        <v>33710</v>
      </c>
      <c r="G324" s="104">
        <f t="shared" si="65"/>
        <v>0.7497775800711743</v>
      </c>
      <c r="H324" s="213">
        <f>E324</f>
        <v>44960</v>
      </c>
      <c r="I324" s="214">
        <f>F324</f>
        <v>33710</v>
      </c>
      <c r="J324" s="139">
        <f>I324/H324</f>
        <v>0.7497775800711743</v>
      </c>
      <c r="K324" s="225"/>
      <c r="L324" s="211"/>
      <c r="M324" s="130"/>
      <c r="N324" s="225"/>
      <c r="O324" s="211"/>
      <c r="P324" s="26"/>
    </row>
    <row r="325" spans="1:16" ht="19.5" thickBot="1">
      <c r="A325" s="12">
        <v>851</v>
      </c>
      <c r="B325" s="12"/>
      <c r="C325" s="12"/>
      <c r="D325" s="12" t="s">
        <v>15</v>
      </c>
      <c r="E325" s="215">
        <f>E326+E329</f>
        <v>84000</v>
      </c>
      <c r="F325" s="215">
        <f>F326+F329</f>
        <v>37920.11</v>
      </c>
      <c r="G325" s="92">
        <f t="shared" si="65"/>
        <v>0.45142988095238096</v>
      </c>
      <c r="H325" s="215">
        <f>H326+H329</f>
        <v>84000</v>
      </c>
      <c r="I325" s="215">
        <f>I326+I329</f>
        <v>37920.11</v>
      </c>
      <c r="J325" s="93">
        <f>I325/H325</f>
        <v>0.45142988095238096</v>
      </c>
      <c r="K325" s="241"/>
      <c r="L325" s="242"/>
      <c r="M325" s="168"/>
      <c r="N325" s="241"/>
      <c r="O325" s="242"/>
      <c r="P325" s="169"/>
    </row>
    <row r="326" spans="1:16" ht="18.75">
      <c r="A326" s="194"/>
      <c r="B326" s="194">
        <v>85153</v>
      </c>
      <c r="C326" s="194"/>
      <c r="D326" s="194" t="s">
        <v>138</v>
      </c>
      <c r="E326" s="219">
        <f>SUM(E327:E328)</f>
        <v>4000</v>
      </c>
      <c r="F326" s="219">
        <f>SUM(F327:F328)</f>
        <v>2689.8</v>
      </c>
      <c r="G326" s="126">
        <f t="shared" si="65"/>
        <v>0.67245</v>
      </c>
      <c r="H326" s="219">
        <f>SUM(H327:H328)</f>
        <v>4000</v>
      </c>
      <c r="I326" s="219">
        <f>SUM(I327:I328)</f>
        <v>2689.8</v>
      </c>
      <c r="J326" s="353">
        <f aca="true" t="shared" si="66" ref="J326:J338">I326/H326</f>
        <v>0.67245</v>
      </c>
      <c r="K326" s="354"/>
      <c r="L326" s="219"/>
      <c r="M326" s="355"/>
      <c r="N326" s="354"/>
      <c r="O326" s="219"/>
      <c r="P326" s="8"/>
    </row>
    <row r="327" spans="1:16" ht="18.75">
      <c r="A327" s="15"/>
      <c r="B327" s="15"/>
      <c r="C327" s="15">
        <v>4210</v>
      </c>
      <c r="D327" s="296" t="s">
        <v>42</v>
      </c>
      <c r="E327" s="213">
        <v>2000</v>
      </c>
      <c r="F327" s="213">
        <v>1339.8</v>
      </c>
      <c r="G327" s="104">
        <f t="shared" si="65"/>
        <v>0.6698999999999999</v>
      </c>
      <c r="H327" s="213">
        <f>E327</f>
        <v>2000</v>
      </c>
      <c r="I327" s="213">
        <f>F327</f>
        <v>1339.8</v>
      </c>
      <c r="J327" s="78">
        <f t="shared" si="66"/>
        <v>0.6698999999999999</v>
      </c>
      <c r="K327" s="225"/>
      <c r="L327" s="211"/>
      <c r="M327" s="130"/>
      <c r="N327" s="225"/>
      <c r="O327" s="211"/>
      <c r="P327" s="26"/>
    </row>
    <row r="328" spans="1:16" ht="18.75">
      <c r="A328" s="15"/>
      <c r="B328" s="15"/>
      <c r="C328" s="15">
        <v>4300</v>
      </c>
      <c r="D328" s="296" t="s">
        <v>44</v>
      </c>
      <c r="E328" s="213">
        <v>2000</v>
      </c>
      <c r="F328" s="213">
        <v>1350</v>
      </c>
      <c r="G328" s="104">
        <f t="shared" si="65"/>
        <v>0.675</v>
      </c>
      <c r="H328" s="213">
        <f>E328</f>
        <v>2000</v>
      </c>
      <c r="I328" s="213">
        <f>F328</f>
        <v>1350</v>
      </c>
      <c r="J328" s="78">
        <f t="shared" si="66"/>
        <v>0.675</v>
      </c>
      <c r="K328" s="225"/>
      <c r="L328" s="211"/>
      <c r="M328" s="130"/>
      <c r="N328" s="225"/>
      <c r="O328" s="211"/>
      <c r="P328" s="26"/>
    </row>
    <row r="329" spans="1:16" ht="18.75">
      <c r="A329" s="7"/>
      <c r="B329" s="22">
        <v>85154</v>
      </c>
      <c r="C329" s="22"/>
      <c r="D329" s="22" t="s">
        <v>65</v>
      </c>
      <c r="E329" s="218">
        <f>SUM(E330:E338)</f>
        <v>80000</v>
      </c>
      <c r="F329" s="218">
        <f>SUM(F330:F338)</f>
        <v>35230.31</v>
      </c>
      <c r="G329" s="103">
        <f aca="true" t="shared" si="67" ref="G329:G337">F329/E329</f>
        <v>0.44037887499999995</v>
      </c>
      <c r="H329" s="218">
        <f>SUM(H330:H338)</f>
        <v>80000</v>
      </c>
      <c r="I329" s="218">
        <f>SUM(I330:I338)</f>
        <v>35230.31</v>
      </c>
      <c r="J329" s="86">
        <f t="shared" si="66"/>
        <v>0.44037887499999995</v>
      </c>
      <c r="K329" s="229"/>
      <c r="L329" s="224"/>
      <c r="M329" s="153"/>
      <c r="N329" s="229"/>
      <c r="O329" s="224"/>
      <c r="P329" s="154"/>
    </row>
    <row r="330" spans="1:16" ht="56.25">
      <c r="A330" s="7"/>
      <c r="B330" s="15"/>
      <c r="C330" s="199">
        <v>2820</v>
      </c>
      <c r="D330" s="294" t="s">
        <v>130</v>
      </c>
      <c r="E330" s="213">
        <v>25000</v>
      </c>
      <c r="F330" s="213">
        <v>10000</v>
      </c>
      <c r="G330" s="104">
        <f t="shared" si="67"/>
        <v>0.4</v>
      </c>
      <c r="H330" s="213">
        <f>E330</f>
        <v>25000</v>
      </c>
      <c r="I330" s="213">
        <f>F330</f>
        <v>10000</v>
      </c>
      <c r="J330" s="139">
        <f t="shared" si="66"/>
        <v>0.4</v>
      </c>
      <c r="K330" s="228"/>
      <c r="L330" s="222"/>
      <c r="M330" s="148"/>
      <c r="N330" s="228"/>
      <c r="O330" s="222"/>
      <c r="P330" s="30"/>
    </row>
    <row r="331" spans="1:16" ht="18.75">
      <c r="A331" s="7"/>
      <c r="B331" s="15"/>
      <c r="C331" s="199">
        <v>3000</v>
      </c>
      <c r="D331" s="294" t="s">
        <v>162</v>
      </c>
      <c r="E331" s="213">
        <v>8000</v>
      </c>
      <c r="F331" s="214">
        <v>0</v>
      </c>
      <c r="G331" s="104">
        <f t="shared" si="67"/>
        <v>0</v>
      </c>
      <c r="H331" s="213">
        <f aca="true" t="shared" si="68" ref="H331:H338">E331</f>
        <v>8000</v>
      </c>
      <c r="I331" s="213">
        <f aca="true" t="shared" si="69" ref="I331:I338">F331</f>
        <v>0</v>
      </c>
      <c r="J331" s="139">
        <f t="shared" si="66"/>
        <v>0</v>
      </c>
      <c r="K331" s="228"/>
      <c r="L331" s="222"/>
      <c r="M331" s="148"/>
      <c r="N331" s="228"/>
      <c r="O331" s="222"/>
      <c r="P331" s="30"/>
    </row>
    <row r="332" spans="1:16" ht="18.75">
      <c r="A332" s="15"/>
      <c r="B332" s="19"/>
      <c r="C332" s="15">
        <v>4170</v>
      </c>
      <c r="D332" s="296" t="s">
        <v>98</v>
      </c>
      <c r="E332" s="213">
        <v>10000</v>
      </c>
      <c r="F332" s="217">
        <v>4709</v>
      </c>
      <c r="G332" s="104">
        <f t="shared" si="67"/>
        <v>0.4709</v>
      </c>
      <c r="H332" s="213">
        <f t="shared" si="68"/>
        <v>10000</v>
      </c>
      <c r="I332" s="213">
        <f t="shared" si="69"/>
        <v>4709</v>
      </c>
      <c r="J332" s="139">
        <f t="shared" si="66"/>
        <v>0.4709</v>
      </c>
      <c r="K332" s="228"/>
      <c r="L332" s="222"/>
      <c r="M332" s="148"/>
      <c r="N332" s="228"/>
      <c r="O332" s="222"/>
      <c r="P332" s="30"/>
    </row>
    <row r="333" spans="1:16" ht="18.75">
      <c r="A333" s="15"/>
      <c r="B333" s="15"/>
      <c r="C333" s="15">
        <v>4210</v>
      </c>
      <c r="D333" s="296" t="s">
        <v>42</v>
      </c>
      <c r="E333" s="213">
        <v>14200</v>
      </c>
      <c r="F333" s="213">
        <v>7126.32</v>
      </c>
      <c r="G333" s="104">
        <f t="shared" si="67"/>
        <v>0.5018535211267605</v>
      </c>
      <c r="H333" s="213">
        <f t="shared" si="68"/>
        <v>14200</v>
      </c>
      <c r="I333" s="213">
        <f t="shared" si="69"/>
        <v>7126.32</v>
      </c>
      <c r="J333" s="139">
        <f t="shared" si="66"/>
        <v>0.5018535211267605</v>
      </c>
      <c r="K333" s="228"/>
      <c r="L333" s="222"/>
      <c r="M333" s="148"/>
      <c r="N333" s="228"/>
      <c r="O333" s="222"/>
      <c r="P333" s="30"/>
    </row>
    <row r="334" spans="1:16" ht="18.75">
      <c r="A334" s="15"/>
      <c r="B334" s="15"/>
      <c r="C334" s="15">
        <v>4280</v>
      </c>
      <c r="D334" s="296" t="s">
        <v>102</v>
      </c>
      <c r="E334" s="213">
        <v>10000</v>
      </c>
      <c r="F334" s="213">
        <v>5240</v>
      </c>
      <c r="G334" s="104">
        <f t="shared" si="67"/>
        <v>0.524</v>
      </c>
      <c r="H334" s="213">
        <f t="shared" si="68"/>
        <v>10000</v>
      </c>
      <c r="I334" s="213">
        <f t="shared" si="69"/>
        <v>5240</v>
      </c>
      <c r="J334" s="139">
        <f t="shared" si="66"/>
        <v>0.524</v>
      </c>
      <c r="K334" s="228"/>
      <c r="L334" s="222"/>
      <c r="M334" s="148"/>
      <c r="N334" s="228"/>
      <c r="O334" s="222"/>
      <c r="P334" s="30"/>
    </row>
    <row r="335" spans="1:16" ht="18.75">
      <c r="A335" s="7"/>
      <c r="B335" s="15"/>
      <c r="C335" s="15">
        <v>4300</v>
      </c>
      <c r="D335" s="296" t="s">
        <v>44</v>
      </c>
      <c r="E335" s="213">
        <v>12000</v>
      </c>
      <c r="F335" s="213">
        <v>7949.79</v>
      </c>
      <c r="G335" s="104">
        <f t="shared" si="67"/>
        <v>0.6624825</v>
      </c>
      <c r="H335" s="213">
        <f t="shared" si="68"/>
        <v>12000</v>
      </c>
      <c r="I335" s="213">
        <f t="shared" si="69"/>
        <v>7949.79</v>
      </c>
      <c r="J335" s="139">
        <f t="shared" si="66"/>
        <v>0.6624825</v>
      </c>
      <c r="K335" s="228"/>
      <c r="L335" s="222"/>
      <c r="M335" s="148"/>
      <c r="N335" s="228"/>
      <c r="O335" s="222"/>
      <c r="P335" s="30"/>
    </row>
    <row r="336" spans="1:16" ht="18.75">
      <c r="A336" s="7"/>
      <c r="B336" s="15"/>
      <c r="C336" s="15">
        <v>4610</v>
      </c>
      <c r="D336" s="296" t="s">
        <v>183</v>
      </c>
      <c r="E336" s="213">
        <v>500</v>
      </c>
      <c r="F336" s="213">
        <v>178</v>
      </c>
      <c r="G336" s="104">
        <f t="shared" si="67"/>
        <v>0.356</v>
      </c>
      <c r="H336" s="213">
        <f t="shared" si="68"/>
        <v>500</v>
      </c>
      <c r="I336" s="213">
        <f t="shared" si="69"/>
        <v>178</v>
      </c>
      <c r="J336" s="139">
        <f t="shared" si="66"/>
        <v>0.356</v>
      </c>
      <c r="K336" s="228"/>
      <c r="L336" s="222"/>
      <c r="M336" s="148"/>
      <c r="N336" s="228"/>
      <c r="O336" s="222"/>
      <c r="P336" s="30"/>
    </row>
    <row r="337" spans="1:16" ht="37.5">
      <c r="A337" s="7"/>
      <c r="B337" s="15"/>
      <c r="C337" s="199">
        <v>4740</v>
      </c>
      <c r="D337" s="294" t="s">
        <v>157</v>
      </c>
      <c r="E337" s="213">
        <v>200</v>
      </c>
      <c r="F337" s="213">
        <v>27.2</v>
      </c>
      <c r="G337" s="104">
        <f t="shared" si="67"/>
        <v>0.136</v>
      </c>
      <c r="H337" s="213">
        <f t="shared" si="68"/>
        <v>200</v>
      </c>
      <c r="I337" s="213">
        <f t="shared" si="69"/>
        <v>27.2</v>
      </c>
      <c r="J337" s="139">
        <f t="shared" si="66"/>
        <v>0.136</v>
      </c>
      <c r="K337" s="228"/>
      <c r="L337" s="222"/>
      <c r="M337" s="148"/>
      <c r="N337" s="228"/>
      <c r="O337" s="222"/>
      <c r="P337" s="30"/>
    </row>
    <row r="338" spans="1:16" ht="38.25" thickBot="1">
      <c r="A338" s="7"/>
      <c r="B338" s="15"/>
      <c r="C338" s="199">
        <v>4750</v>
      </c>
      <c r="D338" s="295" t="s">
        <v>158</v>
      </c>
      <c r="E338" s="213">
        <v>100</v>
      </c>
      <c r="F338" s="213">
        <v>0</v>
      </c>
      <c r="G338" s="104">
        <f>F338/E338</f>
        <v>0</v>
      </c>
      <c r="H338" s="213">
        <f t="shared" si="68"/>
        <v>100</v>
      </c>
      <c r="I338" s="213">
        <f t="shared" si="69"/>
        <v>0</v>
      </c>
      <c r="J338" s="139">
        <f t="shared" si="66"/>
        <v>0</v>
      </c>
      <c r="K338" s="228"/>
      <c r="L338" s="222"/>
      <c r="M338" s="148"/>
      <c r="N338" s="228"/>
      <c r="O338" s="222"/>
      <c r="P338" s="30"/>
    </row>
    <row r="339" spans="1:16" ht="19.5" thickBot="1">
      <c r="A339" s="12">
        <v>852</v>
      </c>
      <c r="B339" s="12"/>
      <c r="C339" s="12"/>
      <c r="D339" s="12" t="s">
        <v>93</v>
      </c>
      <c r="E339" s="215">
        <f>E340+E342+E356+E358+E361+E363+E365+E386</f>
        <v>2944000</v>
      </c>
      <c r="F339" s="215">
        <f>F340+F342+F356+F358+F361+F363+F365+F386</f>
        <v>1401503.42</v>
      </c>
      <c r="G339" s="92">
        <f>F339/E339</f>
        <v>0.47605415081521735</v>
      </c>
      <c r="H339" s="215">
        <f>H340+H342+H356+H358+H361+H363+H365+H386</f>
        <v>1197000</v>
      </c>
      <c r="I339" s="215">
        <f>I340+I363+I342+I356+I358+I361+I365+I386</f>
        <v>552556.8300000001</v>
      </c>
      <c r="J339" s="79">
        <f>I339/H339</f>
        <v>0.46161807017543866</v>
      </c>
      <c r="K339" s="237">
        <f>K342+K356+K358+K361+K365+K386</f>
        <v>1747000</v>
      </c>
      <c r="L339" s="237">
        <f>L342+L356+L358+L361+L365+L386</f>
        <v>848946.59</v>
      </c>
      <c r="M339" s="150">
        <f>L339/K339</f>
        <v>0.48594538637664564</v>
      </c>
      <c r="N339" s="241"/>
      <c r="O339" s="242"/>
      <c r="P339" s="169"/>
    </row>
    <row r="340" spans="1:16" ht="18.75">
      <c r="A340" s="15"/>
      <c r="B340" s="15">
        <v>85202</v>
      </c>
      <c r="C340" s="15"/>
      <c r="D340" s="15" t="s">
        <v>240</v>
      </c>
      <c r="E340" s="211">
        <f>E341</f>
        <v>120000</v>
      </c>
      <c r="F340" s="211">
        <f>F341</f>
        <v>72535.59</v>
      </c>
      <c r="G340" s="126">
        <f>F340/E340</f>
        <v>0.60446325</v>
      </c>
      <c r="H340" s="211">
        <f>H341</f>
        <v>120000</v>
      </c>
      <c r="I340" s="211">
        <f>I341</f>
        <v>72535.59</v>
      </c>
      <c r="J340" s="77">
        <f>I340/H340</f>
        <v>0.60446325</v>
      </c>
      <c r="K340" s="253"/>
      <c r="L340" s="212"/>
      <c r="M340" s="130"/>
      <c r="N340" s="225"/>
      <c r="O340" s="211"/>
      <c r="P340" s="26"/>
    </row>
    <row r="341" spans="1:16" ht="37.5">
      <c r="A341" s="15"/>
      <c r="B341" s="15"/>
      <c r="C341" s="199">
        <v>4330</v>
      </c>
      <c r="D341" s="475" t="s">
        <v>257</v>
      </c>
      <c r="E341" s="447">
        <v>120000</v>
      </c>
      <c r="F341" s="447">
        <v>72535.59</v>
      </c>
      <c r="G341" s="340">
        <f>F341/E341</f>
        <v>0.60446325</v>
      </c>
      <c r="H341" s="447">
        <f>E341</f>
        <v>120000</v>
      </c>
      <c r="I341" s="447">
        <f>F341</f>
        <v>72535.59</v>
      </c>
      <c r="J341" s="78">
        <f>I341/H341</f>
        <v>0.60446325</v>
      </c>
      <c r="K341" s="253"/>
      <c r="L341" s="212"/>
      <c r="M341" s="130"/>
      <c r="N341" s="225"/>
      <c r="O341" s="211"/>
      <c r="P341" s="26"/>
    </row>
    <row r="342" spans="1:16" ht="56.25">
      <c r="A342" s="7"/>
      <c r="B342" s="200">
        <v>85212</v>
      </c>
      <c r="C342" s="200"/>
      <c r="D342" s="44" t="s">
        <v>228</v>
      </c>
      <c r="E342" s="218">
        <f>SUM(E343:E355)</f>
        <v>1740300</v>
      </c>
      <c r="F342" s="218">
        <f>SUM(F343:F355)</f>
        <v>845683.36</v>
      </c>
      <c r="G342" s="103">
        <f aca="true" t="shared" si="70" ref="G342:G354">F342/E342</f>
        <v>0.48594113658564614</v>
      </c>
      <c r="H342" s="218">
        <f>H351</f>
        <v>300</v>
      </c>
      <c r="I342" s="218">
        <f>I351</f>
        <v>199.97</v>
      </c>
      <c r="J342" s="86">
        <f>I342/H342</f>
        <v>0.6665666666666666</v>
      </c>
      <c r="K342" s="232">
        <f>SUM(K343:K355)</f>
        <v>1740000</v>
      </c>
      <c r="L342" s="218">
        <f>SUM(L343:L355)</f>
        <v>845483.39</v>
      </c>
      <c r="M342" s="162">
        <f>L342/K342</f>
        <v>0.48590999425287357</v>
      </c>
      <c r="N342" s="225"/>
      <c r="O342" s="211"/>
      <c r="P342" s="26"/>
    </row>
    <row r="343" spans="1:16" ht="18.75">
      <c r="A343" s="7"/>
      <c r="B343" s="15"/>
      <c r="C343" s="15">
        <v>3110</v>
      </c>
      <c r="D343" s="296" t="s">
        <v>66</v>
      </c>
      <c r="E343" s="213">
        <v>1667800</v>
      </c>
      <c r="F343" s="217">
        <v>811273.61</v>
      </c>
      <c r="G343" s="104">
        <f t="shared" si="70"/>
        <v>0.4864333912939201</v>
      </c>
      <c r="H343" s="212"/>
      <c r="I343" s="211"/>
      <c r="J343" s="187"/>
      <c r="K343" s="214">
        <f>E343</f>
        <v>1667800</v>
      </c>
      <c r="L343" s="217">
        <f>F343</f>
        <v>811273.61</v>
      </c>
      <c r="M343" s="165">
        <f aca="true" t="shared" si="71" ref="M343:M355">L343/K343</f>
        <v>0.4864333912939201</v>
      </c>
      <c r="N343" s="228"/>
      <c r="O343" s="222"/>
      <c r="P343" s="30"/>
    </row>
    <row r="344" spans="1:16" ht="18.75">
      <c r="A344" s="7"/>
      <c r="B344" s="15"/>
      <c r="C344" s="15">
        <v>4010</v>
      </c>
      <c r="D344" s="296" t="s">
        <v>47</v>
      </c>
      <c r="E344" s="213">
        <v>38000</v>
      </c>
      <c r="F344" s="217">
        <v>15918.39</v>
      </c>
      <c r="G344" s="104">
        <f t="shared" si="70"/>
        <v>0.41890499999999997</v>
      </c>
      <c r="H344" s="212"/>
      <c r="I344" s="211"/>
      <c r="J344" s="187"/>
      <c r="K344" s="214">
        <f aca="true" t="shared" si="72" ref="K344:K355">E344</f>
        <v>38000</v>
      </c>
      <c r="L344" s="217">
        <f aca="true" t="shared" si="73" ref="L344:L355">F344</f>
        <v>15918.39</v>
      </c>
      <c r="M344" s="165">
        <f t="shared" si="71"/>
        <v>0.41890499999999997</v>
      </c>
      <c r="N344" s="228"/>
      <c r="O344" s="222"/>
      <c r="P344" s="30"/>
    </row>
    <row r="345" spans="1:16" ht="18.75">
      <c r="A345" s="7"/>
      <c r="B345" s="15"/>
      <c r="C345" s="15">
        <v>4040</v>
      </c>
      <c r="D345" s="296" t="s">
        <v>48</v>
      </c>
      <c r="E345" s="213">
        <v>2530</v>
      </c>
      <c r="F345" s="217">
        <v>2525.56</v>
      </c>
      <c r="G345" s="104">
        <f t="shared" si="70"/>
        <v>0.9982450592885376</v>
      </c>
      <c r="H345" s="212"/>
      <c r="I345" s="211"/>
      <c r="J345" s="187"/>
      <c r="K345" s="214">
        <f t="shared" si="72"/>
        <v>2530</v>
      </c>
      <c r="L345" s="217">
        <f t="shared" si="73"/>
        <v>2525.56</v>
      </c>
      <c r="M345" s="165">
        <f t="shared" si="71"/>
        <v>0.9982450592885376</v>
      </c>
      <c r="N345" s="228"/>
      <c r="O345" s="222"/>
      <c r="P345" s="30"/>
    </row>
    <row r="346" spans="1:16" ht="18.75">
      <c r="A346" s="7"/>
      <c r="B346" s="15"/>
      <c r="C346" s="15">
        <v>4110</v>
      </c>
      <c r="D346" s="296" t="s">
        <v>49</v>
      </c>
      <c r="E346" s="213">
        <v>26500</v>
      </c>
      <c r="F346" s="217">
        <v>12480.3</v>
      </c>
      <c r="G346" s="104">
        <f t="shared" si="70"/>
        <v>0.47095471698113206</v>
      </c>
      <c r="H346" s="212"/>
      <c r="I346" s="211"/>
      <c r="J346" s="187"/>
      <c r="K346" s="214">
        <f t="shared" si="72"/>
        <v>26500</v>
      </c>
      <c r="L346" s="217">
        <f t="shared" si="73"/>
        <v>12480.3</v>
      </c>
      <c r="M346" s="165">
        <f t="shared" si="71"/>
        <v>0.47095471698113206</v>
      </c>
      <c r="N346" s="228"/>
      <c r="O346" s="222"/>
      <c r="P346" s="30"/>
    </row>
    <row r="347" spans="1:16" ht="18.75">
      <c r="A347" s="7"/>
      <c r="B347" s="15"/>
      <c r="C347" s="15">
        <v>4120</v>
      </c>
      <c r="D347" s="296" t="s">
        <v>50</v>
      </c>
      <c r="E347" s="213">
        <v>1000</v>
      </c>
      <c r="F347" s="217">
        <v>409.2</v>
      </c>
      <c r="G347" s="104">
        <f t="shared" si="70"/>
        <v>0.4092</v>
      </c>
      <c r="H347" s="212"/>
      <c r="I347" s="211"/>
      <c r="J347" s="187"/>
      <c r="K347" s="214">
        <f t="shared" si="72"/>
        <v>1000</v>
      </c>
      <c r="L347" s="217">
        <f t="shared" si="73"/>
        <v>409.2</v>
      </c>
      <c r="M347" s="165">
        <f t="shared" si="71"/>
        <v>0.4092</v>
      </c>
      <c r="N347" s="228"/>
      <c r="O347" s="222"/>
      <c r="P347" s="30"/>
    </row>
    <row r="348" spans="1:16" ht="18.75">
      <c r="A348" s="7"/>
      <c r="B348" s="15"/>
      <c r="C348" s="15">
        <v>4210</v>
      </c>
      <c r="D348" s="296" t="s">
        <v>42</v>
      </c>
      <c r="E348" s="213">
        <v>200</v>
      </c>
      <c r="F348" s="217">
        <v>31.11</v>
      </c>
      <c r="G348" s="104">
        <f t="shared" si="70"/>
        <v>0.15555</v>
      </c>
      <c r="H348" s="212"/>
      <c r="I348" s="211"/>
      <c r="J348" s="187"/>
      <c r="K348" s="214">
        <f t="shared" si="72"/>
        <v>200</v>
      </c>
      <c r="L348" s="217">
        <f t="shared" si="73"/>
        <v>31.11</v>
      </c>
      <c r="M348" s="165">
        <f t="shared" si="71"/>
        <v>0.15555</v>
      </c>
      <c r="N348" s="228"/>
      <c r="O348" s="222"/>
      <c r="P348" s="30"/>
    </row>
    <row r="349" spans="1:16" ht="18.75">
      <c r="A349" s="7"/>
      <c r="B349" s="15"/>
      <c r="C349" s="15">
        <v>4300</v>
      </c>
      <c r="D349" s="296" t="s">
        <v>44</v>
      </c>
      <c r="E349" s="213">
        <v>490</v>
      </c>
      <c r="F349" s="217">
        <v>300</v>
      </c>
      <c r="G349" s="104">
        <f t="shared" si="70"/>
        <v>0.6122448979591837</v>
      </c>
      <c r="H349" s="212"/>
      <c r="I349" s="211"/>
      <c r="J349" s="187"/>
      <c r="K349" s="214">
        <f t="shared" si="72"/>
        <v>490</v>
      </c>
      <c r="L349" s="217">
        <f t="shared" si="73"/>
        <v>300</v>
      </c>
      <c r="M349" s="165">
        <f t="shared" si="71"/>
        <v>0.6122448979591837</v>
      </c>
      <c r="N349" s="228"/>
      <c r="O349" s="222"/>
      <c r="P349" s="30"/>
    </row>
    <row r="350" spans="1:16" ht="18.75">
      <c r="A350" s="7"/>
      <c r="B350" s="15"/>
      <c r="C350" s="199">
        <v>4410</v>
      </c>
      <c r="D350" s="294" t="s">
        <v>55</v>
      </c>
      <c r="E350" s="213">
        <v>100</v>
      </c>
      <c r="F350" s="217">
        <v>82.2</v>
      </c>
      <c r="G350" s="104">
        <f t="shared" si="70"/>
        <v>0.8220000000000001</v>
      </c>
      <c r="H350" s="212"/>
      <c r="I350" s="211"/>
      <c r="J350" s="187"/>
      <c r="K350" s="214">
        <f t="shared" si="72"/>
        <v>100</v>
      </c>
      <c r="L350" s="217">
        <f t="shared" si="73"/>
        <v>82.2</v>
      </c>
      <c r="M350" s="165">
        <f t="shared" si="71"/>
        <v>0.8220000000000001</v>
      </c>
      <c r="N350" s="228"/>
      <c r="O350" s="222"/>
      <c r="P350" s="30"/>
    </row>
    <row r="351" spans="1:16" ht="18.75">
      <c r="A351" s="7"/>
      <c r="B351" s="15"/>
      <c r="C351" s="199">
        <v>4430</v>
      </c>
      <c r="D351" s="294" t="s">
        <v>53</v>
      </c>
      <c r="E351" s="213">
        <v>300</v>
      </c>
      <c r="F351" s="217">
        <v>199.97</v>
      </c>
      <c r="G351" s="104">
        <f t="shared" si="70"/>
        <v>0.6665666666666666</v>
      </c>
      <c r="H351" s="213">
        <v>300</v>
      </c>
      <c r="I351" s="217">
        <v>199.97</v>
      </c>
      <c r="J351" s="165">
        <f>I351/H351</f>
        <v>0.6665666666666666</v>
      </c>
      <c r="K351" s="214">
        <v>0</v>
      </c>
      <c r="L351" s="217">
        <v>0</v>
      </c>
      <c r="M351" s="165" t="s">
        <v>166</v>
      </c>
      <c r="N351" s="228"/>
      <c r="O351" s="222"/>
      <c r="P351" s="30"/>
    </row>
    <row r="352" spans="1:16" ht="18.75">
      <c r="A352" s="7"/>
      <c r="B352" s="15"/>
      <c r="C352" s="199">
        <v>4440</v>
      </c>
      <c r="D352" s="294" t="s">
        <v>124</v>
      </c>
      <c r="E352" s="213">
        <v>1500</v>
      </c>
      <c r="F352" s="217">
        <v>1125</v>
      </c>
      <c r="G352" s="104">
        <f t="shared" si="70"/>
        <v>0.75</v>
      </c>
      <c r="H352" s="212"/>
      <c r="I352" s="211"/>
      <c r="J352" s="187"/>
      <c r="K352" s="214">
        <f t="shared" si="72"/>
        <v>1500</v>
      </c>
      <c r="L352" s="217">
        <f t="shared" si="73"/>
        <v>1125</v>
      </c>
      <c r="M352" s="165">
        <f t="shared" si="71"/>
        <v>0.75</v>
      </c>
      <c r="N352" s="228"/>
      <c r="O352" s="222"/>
      <c r="P352" s="30"/>
    </row>
    <row r="353" spans="1:16" ht="18.75">
      <c r="A353" s="7"/>
      <c r="B353" s="15"/>
      <c r="C353" s="199">
        <v>4610</v>
      </c>
      <c r="D353" s="294" t="s">
        <v>183</v>
      </c>
      <c r="E353" s="213">
        <v>480</v>
      </c>
      <c r="F353" s="217">
        <v>8.02</v>
      </c>
      <c r="G353" s="104">
        <f t="shared" si="70"/>
        <v>0.016708333333333332</v>
      </c>
      <c r="H353" s="212"/>
      <c r="I353" s="211"/>
      <c r="J353" s="187"/>
      <c r="K353" s="214">
        <f t="shared" si="72"/>
        <v>480</v>
      </c>
      <c r="L353" s="217">
        <f t="shared" si="73"/>
        <v>8.02</v>
      </c>
      <c r="M353" s="165">
        <f t="shared" si="71"/>
        <v>0.016708333333333332</v>
      </c>
      <c r="N353" s="228"/>
      <c r="O353" s="222"/>
      <c r="P353" s="30"/>
    </row>
    <row r="354" spans="1:181" s="40" customFormat="1" ht="37.5">
      <c r="A354" s="7"/>
      <c r="B354" s="15"/>
      <c r="C354" s="199">
        <v>4700</v>
      </c>
      <c r="D354" s="294" t="s">
        <v>161</v>
      </c>
      <c r="E354" s="213">
        <v>400</v>
      </c>
      <c r="F354" s="217">
        <v>400</v>
      </c>
      <c r="G354" s="104">
        <f t="shared" si="70"/>
        <v>1</v>
      </c>
      <c r="H354" s="212"/>
      <c r="I354" s="211"/>
      <c r="J354" s="187"/>
      <c r="K354" s="214">
        <f t="shared" si="72"/>
        <v>400</v>
      </c>
      <c r="L354" s="217">
        <f t="shared" si="73"/>
        <v>400</v>
      </c>
      <c r="M354" s="165">
        <f t="shared" si="71"/>
        <v>1</v>
      </c>
      <c r="N354" s="228"/>
      <c r="O354" s="222"/>
      <c r="P354" s="30"/>
      <c r="Q354" s="36"/>
      <c r="R354" s="36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36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36"/>
      <c r="FE354" s="36"/>
      <c r="FF354" s="36"/>
      <c r="FG354" s="36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</row>
    <row r="355" spans="1:16" ht="37.5">
      <c r="A355" s="7"/>
      <c r="B355" s="15"/>
      <c r="C355" s="199">
        <v>4750</v>
      </c>
      <c r="D355" s="294" t="s">
        <v>158</v>
      </c>
      <c r="E355" s="213">
        <v>1000</v>
      </c>
      <c r="F355" s="217">
        <v>930</v>
      </c>
      <c r="G355" s="104">
        <f aca="true" t="shared" si="74" ref="G355:G364">F355/E355</f>
        <v>0.93</v>
      </c>
      <c r="H355" s="212"/>
      <c r="I355" s="211"/>
      <c r="J355" s="288"/>
      <c r="K355" s="214">
        <f t="shared" si="72"/>
        <v>1000</v>
      </c>
      <c r="L355" s="217">
        <f t="shared" si="73"/>
        <v>930</v>
      </c>
      <c r="M355" s="165">
        <f t="shared" si="71"/>
        <v>0.93</v>
      </c>
      <c r="N355" s="228"/>
      <c r="O355" s="222"/>
      <c r="P355" s="30"/>
    </row>
    <row r="356" spans="1:16" ht="93.75">
      <c r="A356" s="7"/>
      <c r="B356" s="200">
        <v>85213</v>
      </c>
      <c r="C356" s="22"/>
      <c r="D356" s="186" t="s">
        <v>190</v>
      </c>
      <c r="E356" s="218">
        <f>E357</f>
        <v>20000</v>
      </c>
      <c r="F356" s="218">
        <f>F357</f>
        <v>9660.87</v>
      </c>
      <c r="G356" s="103">
        <f t="shared" si="74"/>
        <v>0.4830435</v>
      </c>
      <c r="H356" s="218">
        <f>H357</f>
        <v>13000</v>
      </c>
      <c r="I356" s="218">
        <f>I357</f>
        <v>6197.67</v>
      </c>
      <c r="J356" s="164">
        <f>I356/H356</f>
        <v>0.4767438461538462</v>
      </c>
      <c r="K356" s="232">
        <f>SUM(K357:K357)</f>
        <v>7000</v>
      </c>
      <c r="L356" s="218">
        <f>SUM(L357:L357)</f>
        <v>3463.2</v>
      </c>
      <c r="M356" s="147">
        <f>L356/K356</f>
        <v>0.4947428571428571</v>
      </c>
      <c r="N356" s="236"/>
      <c r="O356" s="218"/>
      <c r="P356" s="23"/>
    </row>
    <row r="357" spans="1:16" ht="18.75">
      <c r="A357" s="15"/>
      <c r="B357" s="15"/>
      <c r="C357" s="15">
        <v>4130</v>
      </c>
      <c r="D357" s="296" t="s">
        <v>94</v>
      </c>
      <c r="E357" s="213">
        <v>20000</v>
      </c>
      <c r="F357" s="217">
        <v>9660.87</v>
      </c>
      <c r="G357" s="409">
        <f t="shared" si="74"/>
        <v>0.4830435</v>
      </c>
      <c r="H357" s="217">
        <v>13000</v>
      </c>
      <c r="I357" s="222">
        <v>6197.67</v>
      </c>
      <c r="J357" s="139">
        <f>I357/H357</f>
        <v>0.4767438461538462</v>
      </c>
      <c r="K357" s="228">
        <v>7000</v>
      </c>
      <c r="L357" s="222">
        <v>3463.2</v>
      </c>
      <c r="M357" s="165">
        <f>L357/K357</f>
        <v>0.4947428571428571</v>
      </c>
      <c r="N357" s="228"/>
      <c r="O357" s="222"/>
      <c r="P357" s="30"/>
    </row>
    <row r="358" spans="1:16" ht="37.5">
      <c r="A358" s="25"/>
      <c r="B358" s="200">
        <v>85214</v>
      </c>
      <c r="C358" s="21"/>
      <c r="D358" s="186" t="s">
        <v>121</v>
      </c>
      <c r="E358" s="218">
        <f>SUM(E359:E360)</f>
        <v>295000</v>
      </c>
      <c r="F358" s="218">
        <f>SUM(F359:F360)</f>
        <v>92123.39</v>
      </c>
      <c r="G358" s="126">
        <f t="shared" si="74"/>
        <v>0.3122826779661017</v>
      </c>
      <c r="H358" s="218">
        <f>SUM(H359:H360)</f>
        <v>295000</v>
      </c>
      <c r="I358" s="218">
        <f>SUM(I359:I360)</f>
        <v>92123.39</v>
      </c>
      <c r="J358" s="86">
        <f>I358/H358</f>
        <v>0.3122826779661017</v>
      </c>
      <c r="K358" s="246"/>
      <c r="L358" s="232"/>
      <c r="M358" s="101"/>
      <c r="N358" s="246"/>
      <c r="O358" s="247"/>
      <c r="P358" s="100"/>
    </row>
    <row r="359" spans="1:16" ht="18.75">
      <c r="A359" s="7"/>
      <c r="B359" s="15"/>
      <c r="C359" s="15">
        <v>3110</v>
      </c>
      <c r="D359" s="296" t="s">
        <v>66</v>
      </c>
      <c r="E359" s="213">
        <v>290000</v>
      </c>
      <c r="F359" s="217">
        <v>92123.39</v>
      </c>
      <c r="G359" s="104">
        <f t="shared" si="74"/>
        <v>0.3176668620689655</v>
      </c>
      <c r="H359" s="213">
        <v>290000</v>
      </c>
      <c r="I359" s="217">
        <v>92123.39</v>
      </c>
      <c r="J359" s="472">
        <f>I359/H359</f>
        <v>0.3176668620689655</v>
      </c>
      <c r="K359" s="339"/>
      <c r="L359" s="222"/>
      <c r="M359" s="165"/>
      <c r="N359" s="228"/>
      <c r="O359" s="222"/>
      <c r="P359" s="30"/>
    </row>
    <row r="360" spans="1:16" ht="18.75">
      <c r="A360" s="7"/>
      <c r="B360" s="15"/>
      <c r="C360" s="15">
        <v>4300</v>
      </c>
      <c r="D360" s="296" t="s">
        <v>44</v>
      </c>
      <c r="E360" s="213">
        <v>5000</v>
      </c>
      <c r="F360" s="217">
        <v>0</v>
      </c>
      <c r="G360" s="104">
        <f t="shared" si="74"/>
        <v>0</v>
      </c>
      <c r="H360" s="213">
        <v>5000</v>
      </c>
      <c r="I360" s="217">
        <v>0</v>
      </c>
      <c r="J360" s="472">
        <f>I360/H360</f>
        <v>0</v>
      </c>
      <c r="K360" s="481"/>
      <c r="L360" s="222"/>
      <c r="M360" s="140"/>
      <c r="N360" s="228"/>
      <c r="O360" s="222"/>
      <c r="P360" s="30"/>
    </row>
    <row r="361" spans="1:16" ht="18.75">
      <c r="A361" s="7"/>
      <c r="B361" s="22">
        <v>85215</v>
      </c>
      <c r="C361" s="22"/>
      <c r="D361" s="22" t="s">
        <v>7</v>
      </c>
      <c r="E361" s="218">
        <f>E362</f>
        <v>130000</v>
      </c>
      <c r="F361" s="218">
        <f>F362</f>
        <v>54861.75</v>
      </c>
      <c r="G361" s="103">
        <f t="shared" si="74"/>
        <v>0.42201346153846153</v>
      </c>
      <c r="H361" s="218">
        <f>SUM(H362:H362)</f>
        <v>130000</v>
      </c>
      <c r="I361" s="218">
        <f>SUM(I362:I362)</f>
        <v>54861.75</v>
      </c>
      <c r="J361" s="86">
        <f aca="true" t="shared" si="75" ref="J361:J385">I361/H361</f>
        <v>0.42201346153846153</v>
      </c>
      <c r="K361" s="229"/>
      <c r="L361" s="224"/>
      <c r="M361" s="153"/>
      <c r="N361" s="229"/>
      <c r="O361" s="224"/>
      <c r="P361" s="154"/>
    </row>
    <row r="362" spans="1:16" ht="18.75">
      <c r="A362" s="7"/>
      <c r="B362" s="383"/>
      <c r="C362" s="383">
        <v>3110</v>
      </c>
      <c r="D362" s="433" t="s">
        <v>66</v>
      </c>
      <c r="E362" s="386">
        <v>130000</v>
      </c>
      <c r="F362" s="476">
        <v>54861.75</v>
      </c>
      <c r="G362" s="409">
        <f t="shared" si="74"/>
        <v>0.42201346153846153</v>
      </c>
      <c r="H362" s="476">
        <f>E362</f>
        <v>130000</v>
      </c>
      <c r="I362" s="477">
        <f>F362</f>
        <v>54861.75</v>
      </c>
      <c r="J362" s="419">
        <f t="shared" si="75"/>
        <v>0.42201346153846153</v>
      </c>
      <c r="K362" s="478"/>
      <c r="L362" s="477"/>
      <c r="M362" s="479"/>
      <c r="N362" s="478"/>
      <c r="O362" s="477"/>
      <c r="P362" s="480"/>
    </row>
    <row r="363" spans="1:16" ht="18.75">
      <c r="A363" s="7"/>
      <c r="B363" s="15">
        <v>85216</v>
      </c>
      <c r="C363" s="15"/>
      <c r="D363" s="15" t="s">
        <v>241</v>
      </c>
      <c r="E363" s="211">
        <f>E364</f>
        <v>132000</v>
      </c>
      <c r="F363" s="211">
        <f>F364</f>
        <v>71708.99</v>
      </c>
      <c r="G363" s="126">
        <f t="shared" si="74"/>
        <v>0.5432499242424242</v>
      </c>
      <c r="H363" s="211">
        <f>H364</f>
        <v>132000</v>
      </c>
      <c r="I363" s="211">
        <f>I364</f>
        <v>71708.99</v>
      </c>
      <c r="J363" s="482">
        <f>I363/H363</f>
        <v>0.5432499242424242</v>
      </c>
      <c r="K363" s="483"/>
      <c r="L363" s="222"/>
      <c r="M363" s="170"/>
      <c r="N363" s="228"/>
      <c r="O363" s="222"/>
      <c r="P363" s="30"/>
    </row>
    <row r="364" spans="1:16" ht="18.75">
      <c r="A364" s="7"/>
      <c r="B364" s="15"/>
      <c r="C364" s="383">
        <v>3110</v>
      </c>
      <c r="D364" s="433" t="s">
        <v>66</v>
      </c>
      <c r="E364" s="213">
        <v>132000</v>
      </c>
      <c r="F364" s="217">
        <v>71708.99</v>
      </c>
      <c r="G364" s="104">
        <f t="shared" si="74"/>
        <v>0.5432499242424242</v>
      </c>
      <c r="H364" s="213">
        <v>132000</v>
      </c>
      <c r="I364" s="217">
        <v>71708.99</v>
      </c>
      <c r="J364" s="472">
        <f>I364/H364</f>
        <v>0.5432499242424242</v>
      </c>
      <c r="K364" s="481"/>
      <c r="L364" s="222"/>
      <c r="M364" s="170"/>
      <c r="N364" s="228"/>
      <c r="O364" s="222"/>
      <c r="P364" s="30"/>
    </row>
    <row r="365" spans="1:16" ht="18.75">
      <c r="A365" s="7"/>
      <c r="B365" s="22">
        <v>85219</v>
      </c>
      <c r="C365" s="22"/>
      <c r="D365" s="22" t="s">
        <v>29</v>
      </c>
      <c r="E365" s="218">
        <f>SUM(E366:E385)</f>
        <v>324370</v>
      </c>
      <c r="F365" s="218">
        <f>SUM(F366:F385)</f>
        <v>173678.44</v>
      </c>
      <c r="G365" s="103">
        <f aca="true" t="shared" si="76" ref="G365:G384">F365/E365</f>
        <v>0.5354331165027592</v>
      </c>
      <c r="H365" s="218">
        <f>SUM(H366:H385)</f>
        <v>324370</v>
      </c>
      <c r="I365" s="218">
        <f>SUM(I366:I385)</f>
        <v>173678.44</v>
      </c>
      <c r="J365" s="86">
        <f t="shared" si="75"/>
        <v>0.5354331165027592</v>
      </c>
      <c r="K365" s="236"/>
      <c r="L365" s="218"/>
      <c r="M365" s="147"/>
      <c r="N365" s="236"/>
      <c r="O365" s="218"/>
      <c r="P365" s="23"/>
    </row>
    <row r="366" spans="1:16" ht="18.75">
      <c r="A366" s="15"/>
      <c r="B366" s="19"/>
      <c r="C366" s="15">
        <v>3020</v>
      </c>
      <c r="D366" s="296" t="s">
        <v>123</v>
      </c>
      <c r="E366" s="213">
        <v>1620</v>
      </c>
      <c r="F366" s="217">
        <v>0</v>
      </c>
      <c r="G366" s="104">
        <f t="shared" si="76"/>
        <v>0</v>
      </c>
      <c r="H366" s="213">
        <f>E366</f>
        <v>1620</v>
      </c>
      <c r="I366" s="217">
        <f>F366</f>
        <v>0</v>
      </c>
      <c r="J366" s="139">
        <f t="shared" si="75"/>
        <v>0</v>
      </c>
      <c r="K366" s="228"/>
      <c r="L366" s="222"/>
      <c r="M366" s="170"/>
      <c r="N366" s="228"/>
      <c r="O366" s="222"/>
      <c r="P366" s="30"/>
    </row>
    <row r="367" spans="1:16" ht="18.75">
      <c r="A367" s="15"/>
      <c r="B367" s="15"/>
      <c r="C367" s="15">
        <v>4010</v>
      </c>
      <c r="D367" s="296" t="s">
        <v>47</v>
      </c>
      <c r="E367" s="213">
        <v>210900</v>
      </c>
      <c r="F367" s="217">
        <v>105242.46</v>
      </c>
      <c r="G367" s="104">
        <f t="shared" si="76"/>
        <v>0.4990159317211949</v>
      </c>
      <c r="H367" s="213">
        <f aca="true" t="shared" si="77" ref="H367:H385">E367</f>
        <v>210900</v>
      </c>
      <c r="I367" s="217">
        <f aca="true" t="shared" si="78" ref="I367:I385">F367</f>
        <v>105242.46</v>
      </c>
      <c r="J367" s="139">
        <f t="shared" si="75"/>
        <v>0.4990159317211949</v>
      </c>
      <c r="K367" s="228"/>
      <c r="L367" s="222"/>
      <c r="M367" s="165"/>
      <c r="N367" s="228"/>
      <c r="O367" s="222"/>
      <c r="P367" s="30"/>
    </row>
    <row r="368" spans="1:16" ht="18.75">
      <c r="A368" s="15"/>
      <c r="B368" s="15"/>
      <c r="C368" s="15">
        <v>4040</v>
      </c>
      <c r="D368" s="296" t="s">
        <v>48</v>
      </c>
      <c r="E368" s="213">
        <v>18000</v>
      </c>
      <c r="F368" s="217">
        <v>16660.52</v>
      </c>
      <c r="G368" s="104">
        <f t="shared" si="76"/>
        <v>0.9255844444444444</v>
      </c>
      <c r="H368" s="213">
        <f t="shared" si="77"/>
        <v>18000</v>
      </c>
      <c r="I368" s="217">
        <f t="shared" si="78"/>
        <v>16660.52</v>
      </c>
      <c r="J368" s="139">
        <f t="shared" si="75"/>
        <v>0.9255844444444444</v>
      </c>
      <c r="K368" s="228"/>
      <c r="L368" s="222"/>
      <c r="M368" s="165"/>
      <c r="N368" s="228"/>
      <c r="O368" s="222"/>
      <c r="P368" s="30"/>
    </row>
    <row r="369" spans="1:16" ht="18.75">
      <c r="A369" s="15"/>
      <c r="B369" s="15"/>
      <c r="C369" s="15">
        <v>4110</v>
      </c>
      <c r="D369" s="296" t="s">
        <v>49</v>
      </c>
      <c r="E369" s="213">
        <v>37300</v>
      </c>
      <c r="F369" s="217">
        <v>19262.86</v>
      </c>
      <c r="G369" s="104">
        <f t="shared" si="76"/>
        <v>0.516430563002681</v>
      </c>
      <c r="H369" s="213">
        <f t="shared" si="77"/>
        <v>37300</v>
      </c>
      <c r="I369" s="217">
        <f t="shared" si="78"/>
        <v>19262.86</v>
      </c>
      <c r="J369" s="139">
        <f t="shared" si="75"/>
        <v>0.516430563002681</v>
      </c>
      <c r="K369" s="228"/>
      <c r="L369" s="222"/>
      <c r="M369" s="165"/>
      <c r="N369" s="228"/>
      <c r="O369" s="222"/>
      <c r="P369" s="30"/>
    </row>
    <row r="370" spans="1:16" ht="18.75">
      <c r="A370" s="15"/>
      <c r="B370" s="15"/>
      <c r="C370" s="15">
        <v>4120</v>
      </c>
      <c r="D370" s="296" t="s">
        <v>50</v>
      </c>
      <c r="E370" s="213">
        <v>5800</v>
      </c>
      <c r="F370" s="217">
        <v>2074.37</v>
      </c>
      <c r="G370" s="104">
        <f t="shared" si="76"/>
        <v>0.35764999999999997</v>
      </c>
      <c r="H370" s="213">
        <f t="shared" si="77"/>
        <v>5800</v>
      </c>
      <c r="I370" s="217">
        <f t="shared" si="78"/>
        <v>2074.37</v>
      </c>
      <c r="J370" s="139">
        <f t="shared" si="75"/>
        <v>0.35764999999999997</v>
      </c>
      <c r="K370" s="228"/>
      <c r="L370" s="222"/>
      <c r="M370" s="165"/>
      <c r="N370" s="228"/>
      <c r="O370" s="222"/>
      <c r="P370" s="30"/>
    </row>
    <row r="371" spans="1:16" ht="18.75">
      <c r="A371" s="15"/>
      <c r="B371" s="15"/>
      <c r="C371" s="15">
        <v>4170</v>
      </c>
      <c r="D371" s="296" t="s">
        <v>98</v>
      </c>
      <c r="E371" s="213">
        <v>600</v>
      </c>
      <c r="F371" s="217">
        <v>0</v>
      </c>
      <c r="G371" s="104">
        <f t="shared" si="76"/>
        <v>0</v>
      </c>
      <c r="H371" s="213">
        <f t="shared" si="77"/>
        <v>600</v>
      </c>
      <c r="I371" s="217">
        <f t="shared" si="78"/>
        <v>0</v>
      </c>
      <c r="J371" s="139">
        <f t="shared" si="75"/>
        <v>0</v>
      </c>
      <c r="K371" s="228"/>
      <c r="L371" s="222"/>
      <c r="M371" s="165"/>
      <c r="N371" s="228"/>
      <c r="O371" s="222"/>
      <c r="P371" s="30"/>
    </row>
    <row r="372" spans="1:16" ht="18.75">
      <c r="A372" s="15"/>
      <c r="B372" s="15"/>
      <c r="C372" s="15">
        <v>4210</v>
      </c>
      <c r="D372" s="296" t="s">
        <v>42</v>
      </c>
      <c r="E372" s="213">
        <v>3900</v>
      </c>
      <c r="F372" s="217">
        <v>1372.18</v>
      </c>
      <c r="G372" s="104">
        <f t="shared" si="76"/>
        <v>0.35184102564102565</v>
      </c>
      <c r="H372" s="213">
        <f t="shared" si="77"/>
        <v>3900</v>
      </c>
      <c r="I372" s="217">
        <f t="shared" si="78"/>
        <v>1372.18</v>
      </c>
      <c r="J372" s="139">
        <f t="shared" si="75"/>
        <v>0.35184102564102565</v>
      </c>
      <c r="K372" s="228"/>
      <c r="L372" s="222"/>
      <c r="M372" s="165"/>
      <c r="N372" s="228"/>
      <c r="O372" s="222"/>
      <c r="P372" s="30"/>
    </row>
    <row r="373" spans="1:16" ht="18.75">
      <c r="A373" s="15"/>
      <c r="B373" s="15"/>
      <c r="C373" s="15">
        <v>4260</v>
      </c>
      <c r="D373" s="296" t="s">
        <v>52</v>
      </c>
      <c r="E373" s="213">
        <v>11000</v>
      </c>
      <c r="F373" s="217">
        <v>8083.93</v>
      </c>
      <c r="G373" s="104">
        <f t="shared" si="76"/>
        <v>0.7349027272727273</v>
      </c>
      <c r="H373" s="213">
        <f t="shared" si="77"/>
        <v>11000</v>
      </c>
      <c r="I373" s="217">
        <f t="shared" si="78"/>
        <v>8083.93</v>
      </c>
      <c r="J373" s="139">
        <f t="shared" si="75"/>
        <v>0.7349027272727273</v>
      </c>
      <c r="K373" s="228"/>
      <c r="L373" s="222"/>
      <c r="M373" s="165"/>
      <c r="N373" s="228"/>
      <c r="O373" s="222"/>
      <c r="P373" s="30"/>
    </row>
    <row r="374" spans="1:16" ht="18.75">
      <c r="A374" s="15"/>
      <c r="B374" s="15"/>
      <c r="C374" s="15">
        <v>4270</v>
      </c>
      <c r="D374" s="296" t="s">
        <v>43</v>
      </c>
      <c r="E374" s="213">
        <v>1000</v>
      </c>
      <c r="F374" s="217">
        <v>490.4</v>
      </c>
      <c r="G374" s="104">
        <f t="shared" si="76"/>
        <v>0.4904</v>
      </c>
      <c r="H374" s="213">
        <f t="shared" si="77"/>
        <v>1000</v>
      </c>
      <c r="I374" s="217">
        <f t="shared" si="78"/>
        <v>490.4</v>
      </c>
      <c r="J374" s="139">
        <f t="shared" si="75"/>
        <v>0.4904</v>
      </c>
      <c r="K374" s="228"/>
      <c r="L374" s="222"/>
      <c r="M374" s="140"/>
      <c r="N374" s="228"/>
      <c r="O374" s="222"/>
      <c r="P374" s="30"/>
    </row>
    <row r="375" spans="1:16" ht="18.75">
      <c r="A375" s="15"/>
      <c r="B375" s="15"/>
      <c r="C375" s="15">
        <v>4280</v>
      </c>
      <c r="D375" s="296" t="s">
        <v>102</v>
      </c>
      <c r="E375" s="213">
        <v>150</v>
      </c>
      <c r="F375" s="217">
        <v>120</v>
      </c>
      <c r="G375" s="104">
        <f t="shared" si="76"/>
        <v>0.8</v>
      </c>
      <c r="H375" s="213">
        <f t="shared" si="77"/>
        <v>150</v>
      </c>
      <c r="I375" s="217">
        <f t="shared" si="78"/>
        <v>120</v>
      </c>
      <c r="J375" s="139">
        <f t="shared" si="75"/>
        <v>0.8</v>
      </c>
      <c r="K375" s="228"/>
      <c r="L375" s="222"/>
      <c r="M375" s="148"/>
      <c r="N375" s="228"/>
      <c r="O375" s="222"/>
      <c r="P375" s="30"/>
    </row>
    <row r="376" spans="1:16" ht="18.75">
      <c r="A376" s="15"/>
      <c r="B376" s="15"/>
      <c r="C376" s="15">
        <v>4300</v>
      </c>
      <c r="D376" s="296" t="s">
        <v>44</v>
      </c>
      <c r="E376" s="213">
        <v>10300</v>
      </c>
      <c r="F376" s="217">
        <v>7414.11</v>
      </c>
      <c r="G376" s="104">
        <f t="shared" si="76"/>
        <v>0.7198165048543689</v>
      </c>
      <c r="H376" s="213">
        <f t="shared" si="77"/>
        <v>10300</v>
      </c>
      <c r="I376" s="217">
        <f t="shared" si="78"/>
        <v>7414.11</v>
      </c>
      <c r="J376" s="139">
        <f t="shared" si="75"/>
        <v>0.7198165048543689</v>
      </c>
      <c r="K376" s="228"/>
      <c r="L376" s="222"/>
      <c r="M376" s="165"/>
      <c r="N376" s="228"/>
      <c r="O376" s="222"/>
      <c r="P376" s="30"/>
    </row>
    <row r="377" spans="1:16" ht="18.75">
      <c r="A377" s="15"/>
      <c r="B377" s="15"/>
      <c r="C377" s="15">
        <v>4350</v>
      </c>
      <c r="D377" s="296" t="s">
        <v>104</v>
      </c>
      <c r="E377" s="213">
        <v>1200</v>
      </c>
      <c r="F377" s="217">
        <v>584.38</v>
      </c>
      <c r="G377" s="104">
        <f t="shared" si="76"/>
        <v>0.4869833333333333</v>
      </c>
      <c r="H377" s="213">
        <f t="shared" si="77"/>
        <v>1200</v>
      </c>
      <c r="I377" s="217">
        <f t="shared" si="78"/>
        <v>584.38</v>
      </c>
      <c r="J377" s="139">
        <f t="shared" si="75"/>
        <v>0.4869833333333333</v>
      </c>
      <c r="K377" s="228"/>
      <c r="L377" s="222"/>
      <c r="M377" s="140"/>
      <c r="N377" s="228"/>
      <c r="O377" s="222"/>
      <c r="P377" s="30"/>
    </row>
    <row r="378" spans="1:16" ht="37.5">
      <c r="A378" s="15"/>
      <c r="B378" s="15"/>
      <c r="C378" s="199">
        <v>4370</v>
      </c>
      <c r="D378" s="294" t="s">
        <v>159</v>
      </c>
      <c r="E378" s="213">
        <v>3469</v>
      </c>
      <c r="F378" s="217">
        <v>1094.2</v>
      </c>
      <c r="G378" s="104">
        <f t="shared" si="76"/>
        <v>0.3154223119054483</v>
      </c>
      <c r="H378" s="213">
        <f t="shared" si="77"/>
        <v>3469</v>
      </c>
      <c r="I378" s="217">
        <f t="shared" si="78"/>
        <v>1094.2</v>
      </c>
      <c r="J378" s="139">
        <f t="shared" si="75"/>
        <v>0.3154223119054483</v>
      </c>
      <c r="K378" s="228"/>
      <c r="L378" s="222"/>
      <c r="M378" s="140"/>
      <c r="N378" s="228"/>
      <c r="O378" s="222"/>
      <c r="P378" s="30"/>
    </row>
    <row r="379" spans="1:16" ht="37.5">
      <c r="A379" s="15"/>
      <c r="B379" s="15"/>
      <c r="C379" s="199">
        <v>4400</v>
      </c>
      <c r="D379" s="294" t="s">
        <v>182</v>
      </c>
      <c r="E379" s="213">
        <v>4230</v>
      </c>
      <c r="F379" s="217">
        <v>2110.5</v>
      </c>
      <c r="G379" s="104">
        <f t="shared" si="76"/>
        <v>0.498936170212766</v>
      </c>
      <c r="H379" s="213">
        <f t="shared" si="77"/>
        <v>4230</v>
      </c>
      <c r="I379" s="217">
        <f t="shared" si="78"/>
        <v>2110.5</v>
      </c>
      <c r="J379" s="139">
        <f t="shared" si="75"/>
        <v>0.498936170212766</v>
      </c>
      <c r="K379" s="228"/>
      <c r="L379" s="222"/>
      <c r="M379" s="140"/>
      <c r="N379" s="228"/>
      <c r="O379" s="222"/>
      <c r="P379" s="30"/>
    </row>
    <row r="380" spans="1:16" ht="18.75">
      <c r="A380" s="15"/>
      <c r="B380" s="15"/>
      <c r="C380" s="199">
        <v>4410</v>
      </c>
      <c r="D380" s="294" t="s">
        <v>55</v>
      </c>
      <c r="E380" s="213">
        <v>700</v>
      </c>
      <c r="F380" s="217">
        <v>377.34</v>
      </c>
      <c r="G380" s="104">
        <f t="shared" si="76"/>
        <v>0.5390571428571428</v>
      </c>
      <c r="H380" s="213">
        <f t="shared" si="77"/>
        <v>700</v>
      </c>
      <c r="I380" s="217">
        <f t="shared" si="78"/>
        <v>377.34</v>
      </c>
      <c r="J380" s="139">
        <f t="shared" si="75"/>
        <v>0.5390571428571428</v>
      </c>
      <c r="K380" s="228"/>
      <c r="L380" s="222"/>
      <c r="M380" s="148"/>
      <c r="N380" s="228"/>
      <c r="O380" s="222"/>
      <c r="P380" s="30"/>
    </row>
    <row r="381" spans="1:16" ht="18.75">
      <c r="A381" s="15"/>
      <c r="B381" s="15"/>
      <c r="C381" s="199">
        <v>4430</v>
      </c>
      <c r="D381" s="294" t="s">
        <v>53</v>
      </c>
      <c r="E381" s="213">
        <v>1000</v>
      </c>
      <c r="F381" s="217">
        <v>0</v>
      </c>
      <c r="G381" s="104">
        <f t="shared" si="76"/>
        <v>0</v>
      </c>
      <c r="H381" s="213">
        <f t="shared" si="77"/>
        <v>1000</v>
      </c>
      <c r="I381" s="217">
        <f t="shared" si="78"/>
        <v>0</v>
      </c>
      <c r="J381" s="139">
        <f t="shared" si="75"/>
        <v>0</v>
      </c>
      <c r="K381" s="228"/>
      <c r="L381" s="222"/>
      <c r="M381" s="148"/>
      <c r="N381" s="228"/>
      <c r="O381" s="222"/>
      <c r="P381" s="30"/>
    </row>
    <row r="382" spans="1:16" ht="18.75">
      <c r="A382" s="7"/>
      <c r="B382" s="15"/>
      <c r="C382" s="199">
        <v>4440</v>
      </c>
      <c r="D382" s="294" t="s">
        <v>124</v>
      </c>
      <c r="E382" s="213">
        <v>6501</v>
      </c>
      <c r="F382" s="217">
        <v>4875.75</v>
      </c>
      <c r="G382" s="104">
        <f t="shared" si="76"/>
        <v>0.75</v>
      </c>
      <c r="H382" s="213">
        <f t="shared" si="77"/>
        <v>6501</v>
      </c>
      <c r="I382" s="217">
        <f t="shared" si="78"/>
        <v>4875.75</v>
      </c>
      <c r="J382" s="139">
        <f t="shared" si="75"/>
        <v>0.75</v>
      </c>
      <c r="K382" s="228"/>
      <c r="L382" s="222"/>
      <c r="M382" s="148"/>
      <c r="N382" s="228"/>
      <c r="O382" s="222"/>
      <c r="P382" s="30"/>
    </row>
    <row r="383" spans="1:16" ht="37.5">
      <c r="A383" s="7"/>
      <c r="B383" s="15"/>
      <c r="C383" s="199">
        <v>4700</v>
      </c>
      <c r="D383" s="294" t="s">
        <v>161</v>
      </c>
      <c r="E383" s="213">
        <v>2700</v>
      </c>
      <c r="F383" s="217">
        <v>2295</v>
      </c>
      <c r="G383" s="104">
        <f t="shared" si="76"/>
        <v>0.85</v>
      </c>
      <c r="H383" s="213">
        <f t="shared" si="77"/>
        <v>2700</v>
      </c>
      <c r="I383" s="217">
        <f t="shared" si="78"/>
        <v>2295</v>
      </c>
      <c r="J383" s="139">
        <f t="shared" si="75"/>
        <v>0.85</v>
      </c>
      <c r="K383" s="228"/>
      <c r="L383" s="222"/>
      <c r="M383" s="148"/>
      <c r="N383" s="228"/>
      <c r="O383" s="222"/>
      <c r="P383" s="30"/>
    </row>
    <row r="384" spans="1:16" ht="37.5">
      <c r="A384" s="7"/>
      <c r="B384" s="15"/>
      <c r="C384" s="199">
        <v>4740</v>
      </c>
      <c r="D384" s="294" t="s">
        <v>157</v>
      </c>
      <c r="E384" s="213">
        <v>1000</v>
      </c>
      <c r="F384" s="217">
        <v>0</v>
      </c>
      <c r="G384" s="104">
        <f t="shared" si="76"/>
        <v>0</v>
      </c>
      <c r="H384" s="213">
        <f t="shared" si="77"/>
        <v>1000</v>
      </c>
      <c r="I384" s="217">
        <f t="shared" si="78"/>
        <v>0</v>
      </c>
      <c r="J384" s="139">
        <f t="shared" si="75"/>
        <v>0</v>
      </c>
      <c r="K384" s="228"/>
      <c r="L384" s="222"/>
      <c r="M384" s="148"/>
      <c r="N384" s="228"/>
      <c r="O384" s="222"/>
      <c r="P384" s="30"/>
    </row>
    <row r="385" spans="1:16" ht="37.5">
      <c r="A385" s="7"/>
      <c r="B385" s="15"/>
      <c r="C385" s="199">
        <v>4750</v>
      </c>
      <c r="D385" s="294" t="s">
        <v>158</v>
      </c>
      <c r="E385" s="213">
        <v>3000</v>
      </c>
      <c r="F385" s="217">
        <v>1620.44</v>
      </c>
      <c r="G385" s="104">
        <f>F385/E385</f>
        <v>0.5401466666666667</v>
      </c>
      <c r="H385" s="213">
        <f t="shared" si="77"/>
        <v>3000</v>
      </c>
      <c r="I385" s="217">
        <f t="shared" si="78"/>
        <v>1620.44</v>
      </c>
      <c r="J385" s="139">
        <f t="shared" si="75"/>
        <v>0.5401466666666667</v>
      </c>
      <c r="K385" s="228"/>
      <c r="L385" s="222"/>
      <c r="M385" s="148"/>
      <c r="N385" s="228"/>
      <c r="O385" s="222"/>
      <c r="P385" s="30"/>
    </row>
    <row r="386" spans="1:16" ht="18.75">
      <c r="A386" s="7"/>
      <c r="B386" s="22">
        <v>85295</v>
      </c>
      <c r="C386" s="22"/>
      <c r="D386" s="22" t="s">
        <v>4</v>
      </c>
      <c r="E386" s="218">
        <f>E387</f>
        <v>182330</v>
      </c>
      <c r="F386" s="218">
        <f>F387</f>
        <v>81251.03</v>
      </c>
      <c r="G386" s="103">
        <f>F386/E386</f>
        <v>0.445626227170515</v>
      </c>
      <c r="H386" s="216">
        <f>SUM(H387:H387)</f>
        <v>182330</v>
      </c>
      <c r="I386" s="218">
        <f>SUM(I387:I387)</f>
        <v>81251.03</v>
      </c>
      <c r="J386" s="86">
        <f>I386/H386</f>
        <v>0.445626227170515</v>
      </c>
      <c r="K386" s="236"/>
      <c r="L386" s="218"/>
      <c r="M386" s="153"/>
      <c r="N386" s="229"/>
      <c r="O386" s="224"/>
      <c r="P386" s="154"/>
    </row>
    <row r="387" spans="1:16" ht="19.5" thickBot="1">
      <c r="A387" s="7"/>
      <c r="B387" s="15"/>
      <c r="C387" s="15">
        <v>3110</v>
      </c>
      <c r="D387" s="296" t="s">
        <v>66</v>
      </c>
      <c r="E387" s="213">
        <v>182330</v>
      </c>
      <c r="F387" s="217">
        <v>81251.03</v>
      </c>
      <c r="G387" s="104">
        <f>F387/E387</f>
        <v>0.445626227170515</v>
      </c>
      <c r="H387" s="214">
        <f>E387</f>
        <v>182330</v>
      </c>
      <c r="I387" s="213">
        <f>F387</f>
        <v>81251.03</v>
      </c>
      <c r="J387" s="139">
        <f>I387/H387</f>
        <v>0.445626227170515</v>
      </c>
      <c r="K387" s="228"/>
      <c r="L387" s="222"/>
      <c r="M387" s="170"/>
      <c r="N387" s="228"/>
      <c r="O387" s="222"/>
      <c r="P387" s="30"/>
    </row>
    <row r="388" spans="1:16" ht="19.5" thickBot="1">
      <c r="A388" s="326">
        <v>853</v>
      </c>
      <c r="B388" s="327"/>
      <c r="C388" s="327"/>
      <c r="D388" s="12" t="s">
        <v>180</v>
      </c>
      <c r="E388" s="215">
        <f>E389</f>
        <v>200308.19999999998</v>
      </c>
      <c r="F388" s="215">
        <f>F389</f>
        <v>70240.01000000001</v>
      </c>
      <c r="G388" s="92">
        <f>F388/E388</f>
        <v>0.35065968342783777</v>
      </c>
      <c r="H388" s="221">
        <f>H389</f>
        <v>200308.19999999998</v>
      </c>
      <c r="I388" s="221">
        <f>I389</f>
        <v>70240.01000000001</v>
      </c>
      <c r="J388" s="333">
        <f>I388/H388</f>
        <v>0.35065968342783777</v>
      </c>
      <c r="K388" s="329"/>
      <c r="L388" s="328"/>
      <c r="M388" s="330"/>
      <c r="N388" s="338"/>
      <c r="O388" s="331"/>
      <c r="P388" s="332"/>
    </row>
    <row r="389" spans="1:16" ht="18.75">
      <c r="A389" s="7"/>
      <c r="B389" s="15">
        <v>85395</v>
      </c>
      <c r="C389" s="15"/>
      <c r="D389" s="15" t="s">
        <v>4</v>
      </c>
      <c r="E389" s="211">
        <f>SUM(E390:E412)</f>
        <v>200308.19999999998</v>
      </c>
      <c r="F389" s="211">
        <f>SUM(F390:F412)</f>
        <v>70240.01000000001</v>
      </c>
      <c r="G389" s="126">
        <f aca="true" t="shared" si="79" ref="G389:G411">F389/E389</f>
        <v>0.35065968342783777</v>
      </c>
      <c r="H389" s="212">
        <f>SUM(H390:H412)</f>
        <v>200308.19999999998</v>
      </c>
      <c r="I389" s="211">
        <f>SUM(I390:I412)</f>
        <v>70240.01000000001</v>
      </c>
      <c r="J389" s="129">
        <f>I389/H389</f>
        <v>0.35065968342783777</v>
      </c>
      <c r="K389" s="228"/>
      <c r="L389" s="222"/>
      <c r="M389" s="170"/>
      <c r="N389" s="339"/>
      <c r="O389" s="325"/>
      <c r="P389" s="30"/>
    </row>
    <row r="390" spans="1:16" ht="18.75">
      <c r="A390" s="7"/>
      <c r="B390" s="15"/>
      <c r="C390" s="15">
        <v>3119</v>
      </c>
      <c r="D390" s="296" t="s">
        <v>66</v>
      </c>
      <c r="E390" s="213">
        <v>15045</v>
      </c>
      <c r="F390" s="217">
        <v>0</v>
      </c>
      <c r="G390" s="104">
        <f t="shared" si="79"/>
        <v>0</v>
      </c>
      <c r="H390" s="214">
        <f>E390</f>
        <v>15045</v>
      </c>
      <c r="I390" s="213">
        <f>F390</f>
        <v>0</v>
      </c>
      <c r="J390" s="129">
        <f aca="true" t="shared" si="80" ref="J390:J412">I390/H390</f>
        <v>0</v>
      </c>
      <c r="K390" s="228"/>
      <c r="L390" s="222"/>
      <c r="M390" s="170"/>
      <c r="N390" s="339"/>
      <c r="O390" s="325"/>
      <c r="P390" s="30"/>
    </row>
    <row r="391" spans="1:16" ht="18.75">
      <c r="A391" s="7"/>
      <c r="B391" s="15"/>
      <c r="C391" s="15">
        <v>4017</v>
      </c>
      <c r="D391" s="296" t="s">
        <v>47</v>
      </c>
      <c r="E391" s="213">
        <v>23301.35</v>
      </c>
      <c r="F391" s="217">
        <v>10199.52</v>
      </c>
      <c r="G391" s="104">
        <f t="shared" si="79"/>
        <v>0.43772227789377016</v>
      </c>
      <c r="H391" s="214">
        <f aca="true" t="shared" si="81" ref="H391:H412">E391</f>
        <v>23301.35</v>
      </c>
      <c r="I391" s="213">
        <f aca="true" t="shared" si="82" ref="I391:I412">F391</f>
        <v>10199.52</v>
      </c>
      <c r="J391" s="129">
        <f t="shared" si="80"/>
        <v>0.43772227789377016</v>
      </c>
      <c r="K391" s="228"/>
      <c r="L391" s="222"/>
      <c r="M391" s="170"/>
      <c r="N391" s="339"/>
      <c r="O391" s="325"/>
      <c r="P391" s="30"/>
    </row>
    <row r="392" spans="1:16" ht="18.75">
      <c r="A392" s="7"/>
      <c r="B392" s="15"/>
      <c r="C392" s="15">
        <v>4019</v>
      </c>
      <c r="D392" s="296" t="s">
        <v>47</v>
      </c>
      <c r="E392" s="213">
        <v>1371.83</v>
      </c>
      <c r="F392" s="217">
        <v>600.48</v>
      </c>
      <c r="G392" s="104">
        <f t="shared" si="79"/>
        <v>0.4377218751594586</v>
      </c>
      <c r="H392" s="214">
        <f t="shared" si="81"/>
        <v>1371.83</v>
      </c>
      <c r="I392" s="213">
        <f t="shared" si="82"/>
        <v>600.48</v>
      </c>
      <c r="J392" s="129">
        <f t="shared" si="80"/>
        <v>0.4377218751594586</v>
      </c>
      <c r="K392" s="228"/>
      <c r="L392" s="222"/>
      <c r="M392" s="170"/>
      <c r="N392" s="339"/>
      <c r="O392" s="325"/>
      <c r="P392" s="30"/>
    </row>
    <row r="393" spans="1:16" ht="18.75">
      <c r="A393" s="7"/>
      <c r="B393" s="15"/>
      <c r="C393" s="15">
        <v>4047</v>
      </c>
      <c r="D393" s="296" t="s">
        <v>48</v>
      </c>
      <c r="E393" s="213">
        <v>1628.72</v>
      </c>
      <c r="F393" s="217">
        <v>1628.72</v>
      </c>
      <c r="G393" s="104">
        <f t="shared" si="79"/>
        <v>1</v>
      </c>
      <c r="H393" s="214">
        <f t="shared" si="81"/>
        <v>1628.72</v>
      </c>
      <c r="I393" s="213">
        <f t="shared" si="82"/>
        <v>1628.72</v>
      </c>
      <c r="J393" s="129">
        <f t="shared" si="80"/>
        <v>1</v>
      </c>
      <c r="K393" s="228"/>
      <c r="L393" s="222"/>
      <c r="M393" s="170"/>
      <c r="N393" s="339"/>
      <c r="O393" s="325"/>
      <c r="P393" s="30"/>
    </row>
    <row r="394" spans="1:16" ht="18.75">
      <c r="A394" s="7"/>
      <c r="B394" s="15"/>
      <c r="C394" s="15">
        <v>4049</v>
      </c>
      <c r="D394" s="296" t="s">
        <v>48</v>
      </c>
      <c r="E394" s="213">
        <v>95.89</v>
      </c>
      <c r="F394" s="217">
        <v>95.89</v>
      </c>
      <c r="G394" s="104">
        <f t="shared" si="79"/>
        <v>1</v>
      </c>
      <c r="H394" s="214">
        <f t="shared" si="81"/>
        <v>95.89</v>
      </c>
      <c r="I394" s="213">
        <f t="shared" si="82"/>
        <v>95.89</v>
      </c>
      <c r="J394" s="129">
        <f t="shared" si="80"/>
        <v>1</v>
      </c>
      <c r="K394" s="228"/>
      <c r="L394" s="222"/>
      <c r="M394" s="170"/>
      <c r="N394" s="339"/>
      <c r="O394" s="325"/>
      <c r="P394" s="30"/>
    </row>
    <row r="395" spans="1:16" ht="18.75">
      <c r="A395" s="7"/>
      <c r="B395" s="15"/>
      <c r="C395" s="15">
        <v>4117</v>
      </c>
      <c r="D395" s="296" t="s">
        <v>49</v>
      </c>
      <c r="E395" s="213">
        <v>6737.14</v>
      </c>
      <c r="F395" s="217">
        <v>4114.89</v>
      </c>
      <c r="G395" s="104">
        <f t="shared" si="79"/>
        <v>0.6107769765805668</v>
      </c>
      <c r="H395" s="214">
        <f t="shared" si="81"/>
        <v>6737.14</v>
      </c>
      <c r="I395" s="213">
        <f t="shared" si="82"/>
        <v>4114.89</v>
      </c>
      <c r="J395" s="129">
        <f t="shared" si="80"/>
        <v>0.6107769765805668</v>
      </c>
      <c r="K395" s="228"/>
      <c r="L395" s="222"/>
      <c r="M395" s="170"/>
      <c r="N395" s="339"/>
      <c r="O395" s="325"/>
      <c r="P395" s="30"/>
    </row>
    <row r="396" spans="1:16" ht="18.75">
      <c r="A396" s="7"/>
      <c r="B396" s="15"/>
      <c r="C396" s="15">
        <v>4119</v>
      </c>
      <c r="D396" s="296" t="s">
        <v>49</v>
      </c>
      <c r="E396" s="213">
        <v>596.72</v>
      </c>
      <c r="F396" s="217">
        <v>441.79</v>
      </c>
      <c r="G396" s="104">
        <f t="shared" si="79"/>
        <v>0.7403639898109666</v>
      </c>
      <c r="H396" s="214">
        <f t="shared" si="81"/>
        <v>596.72</v>
      </c>
      <c r="I396" s="213">
        <f t="shared" si="82"/>
        <v>441.79</v>
      </c>
      <c r="J396" s="129">
        <f t="shared" si="80"/>
        <v>0.7403639898109666</v>
      </c>
      <c r="K396" s="228"/>
      <c r="L396" s="222"/>
      <c r="M396" s="170"/>
      <c r="N396" s="339"/>
      <c r="O396" s="325"/>
      <c r="P396" s="30"/>
    </row>
    <row r="397" spans="1:16" ht="18.75">
      <c r="A397" s="7"/>
      <c r="B397" s="15"/>
      <c r="C397" s="15">
        <v>4127</v>
      </c>
      <c r="D397" s="296" t="s">
        <v>50</v>
      </c>
      <c r="E397" s="213">
        <v>1008.08</v>
      </c>
      <c r="F397" s="217">
        <v>631.79</v>
      </c>
      <c r="G397" s="104">
        <f t="shared" si="79"/>
        <v>0.6267260534878184</v>
      </c>
      <c r="H397" s="214">
        <f t="shared" si="81"/>
        <v>1008.08</v>
      </c>
      <c r="I397" s="213">
        <f t="shared" si="82"/>
        <v>631.79</v>
      </c>
      <c r="J397" s="129">
        <f t="shared" si="80"/>
        <v>0.6267260534878184</v>
      </c>
      <c r="K397" s="228"/>
      <c r="L397" s="222"/>
      <c r="M397" s="170"/>
      <c r="N397" s="339"/>
      <c r="O397" s="325"/>
      <c r="P397" s="30"/>
    </row>
    <row r="398" spans="1:16" ht="18.75">
      <c r="A398" s="7"/>
      <c r="B398" s="15"/>
      <c r="C398" s="15">
        <v>4129</v>
      </c>
      <c r="D398" s="296" t="s">
        <v>50</v>
      </c>
      <c r="E398" s="213">
        <v>91.51</v>
      </c>
      <c r="F398" s="217">
        <v>67.75</v>
      </c>
      <c r="G398" s="104">
        <f t="shared" si="79"/>
        <v>0.7403562452191017</v>
      </c>
      <c r="H398" s="214">
        <f t="shared" si="81"/>
        <v>91.51</v>
      </c>
      <c r="I398" s="213">
        <f t="shared" si="82"/>
        <v>67.75</v>
      </c>
      <c r="J398" s="129">
        <f t="shared" si="80"/>
        <v>0.7403562452191017</v>
      </c>
      <c r="K398" s="228"/>
      <c r="L398" s="222"/>
      <c r="M398" s="170"/>
      <c r="N398" s="339"/>
      <c r="O398" s="325"/>
      <c r="P398" s="30"/>
    </row>
    <row r="399" spans="1:16" ht="18.75">
      <c r="A399" s="7"/>
      <c r="B399" s="15"/>
      <c r="C399" s="15">
        <v>4177</v>
      </c>
      <c r="D399" s="296" t="s">
        <v>98</v>
      </c>
      <c r="E399" s="213">
        <v>17736.31</v>
      </c>
      <c r="F399" s="217">
        <v>14383.65</v>
      </c>
      <c r="G399" s="104">
        <f t="shared" si="79"/>
        <v>0.8109719552714177</v>
      </c>
      <c r="H399" s="214">
        <f t="shared" si="81"/>
        <v>17736.31</v>
      </c>
      <c r="I399" s="213">
        <f t="shared" si="82"/>
        <v>14383.65</v>
      </c>
      <c r="J399" s="129">
        <f t="shared" si="80"/>
        <v>0.8109719552714177</v>
      </c>
      <c r="K399" s="228"/>
      <c r="L399" s="222"/>
      <c r="M399" s="170"/>
      <c r="N399" s="339"/>
      <c r="O399" s="325"/>
      <c r="P399" s="30"/>
    </row>
    <row r="400" spans="1:16" ht="18.75">
      <c r="A400" s="7"/>
      <c r="B400" s="15"/>
      <c r="C400" s="15">
        <v>4179</v>
      </c>
      <c r="D400" s="296" t="s">
        <v>98</v>
      </c>
      <c r="E400" s="213">
        <v>2341.53</v>
      </c>
      <c r="F400" s="217">
        <v>2144.25</v>
      </c>
      <c r="G400" s="104">
        <f t="shared" si="79"/>
        <v>0.915747395933428</v>
      </c>
      <c r="H400" s="214">
        <f t="shared" si="81"/>
        <v>2341.53</v>
      </c>
      <c r="I400" s="213">
        <f t="shared" si="82"/>
        <v>2144.25</v>
      </c>
      <c r="J400" s="129">
        <f t="shared" si="80"/>
        <v>0.915747395933428</v>
      </c>
      <c r="K400" s="228"/>
      <c r="L400" s="222"/>
      <c r="M400" s="170"/>
      <c r="N400" s="339"/>
      <c r="O400" s="325"/>
      <c r="P400" s="30"/>
    </row>
    <row r="401" spans="1:16" ht="18.75">
      <c r="A401" s="7"/>
      <c r="B401" s="15"/>
      <c r="C401" s="15">
        <v>4217</v>
      </c>
      <c r="D401" s="296" t="s">
        <v>42</v>
      </c>
      <c r="E401" s="213">
        <v>3573.78</v>
      </c>
      <c r="F401" s="217">
        <v>2001.37</v>
      </c>
      <c r="G401" s="104">
        <f t="shared" si="79"/>
        <v>0.5600148861989266</v>
      </c>
      <c r="H401" s="214">
        <f t="shared" si="81"/>
        <v>3573.78</v>
      </c>
      <c r="I401" s="213">
        <f t="shared" si="82"/>
        <v>2001.37</v>
      </c>
      <c r="J401" s="129">
        <f t="shared" si="80"/>
        <v>0.5600148861989266</v>
      </c>
      <c r="K401" s="228"/>
      <c r="L401" s="222"/>
      <c r="M401" s="170"/>
      <c r="N401" s="339"/>
      <c r="O401" s="325"/>
      <c r="P401" s="30"/>
    </row>
    <row r="402" spans="1:16" ht="18.75">
      <c r="A402" s="7"/>
      <c r="B402" s="15"/>
      <c r="C402" s="15">
        <v>4219</v>
      </c>
      <c r="D402" s="296" t="s">
        <v>42</v>
      </c>
      <c r="E402" s="213">
        <v>235.68</v>
      </c>
      <c r="F402" s="217">
        <v>143.11</v>
      </c>
      <c r="G402" s="104">
        <f t="shared" si="79"/>
        <v>0.6072216564833673</v>
      </c>
      <c r="H402" s="214">
        <f t="shared" si="81"/>
        <v>235.68</v>
      </c>
      <c r="I402" s="213">
        <f t="shared" si="82"/>
        <v>143.11</v>
      </c>
      <c r="J402" s="129">
        <f t="shared" si="80"/>
        <v>0.6072216564833673</v>
      </c>
      <c r="K402" s="228"/>
      <c r="L402" s="222"/>
      <c r="M402" s="170"/>
      <c r="N402" s="339"/>
      <c r="O402" s="325"/>
      <c r="P402" s="30"/>
    </row>
    <row r="403" spans="1:16" ht="18.75">
      <c r="A403" s="7"/>
      <c r="B403" s="15"/>
      <c r="C403" s="15">
        <v>4307</v>
      </c>
      <c r="D403" s="296" t="s">
        <v>44</v>
      </c>
      <c r="E403" s="213">
        <v>113728.68</v>
      </c>
      <c r="F403" s="217">
        <v>27625.21</v>
      </c>
      <c r="G403" s="104">
        <f t="shared" si="79"/>
        <v>0.2429045162574647</v>
      </c>
      <c r="H403" s="214">
        <f t="shared" si="81"/>
        <v>113728.68</v>
      </c>
      <c r="I403" s="213">
        <f t="shared" si="82"/>
        <v>27625.21</v>
      </c>
      <c r="J403" s="129">
        <f t="shared" si="80"/>
        <v>0.2429045162574647</v>
      </c>
      <c r="K403" s="228"/>
      <c r="L403" s="222"/>
      <c r="M403" s="170"/>
      <c r="N403" s="339"/>
      <c r="O403" s="325"/>
      <c r="P403" s="30"/>
    </row>
    <row r="404" spans="1:16" ht="18.75">
      <c r="A404" s="7"/>
      <c r="B404" s="15"/>
      <c r="C404" s="15">
        <v>4309</v>
      </c>
      <c r="D404" s="296" t="s">
        <v>44</v>
      </c>
      <c r="E404" s="213">
        <v>10065.98</v>
      </c>
      <c r="F404" s="217">
        <v>4813.48</v>
      </c>
      <c r="G404" s="104">
        <f t="shared" si="79"/>
        <v>0.4781928833556196</v>
      </c>
      <c r="H404" s="214">
        <f t="shared" si="81"/>
        <v>10065.98</v>
      </c>
      <c r="I404" s="213">
        <f t="shared" si="82"/>
        <v>4813.48</v>
      </c>
      <c r="J404" s="129">
        <f t="shared" si="80"/>
        <v>0.4781928833556196</v>
      </c>
      <c r="K404" s="228"/>
      <c r="L404" s="222"/>
      <c r="M404" s="170"/>
      <c r="N404" s="339"/>
      <c r="O404" s="325"/>
      <c r="P404" s="30"/>
    </row>
    <row r="405" spans="1:16" ht="18.75">
      <c r="A405" s="7"/>
      <c r="B405" s="15"/>
      <c r="C405" s="15">
        <v>4417</v>
      </c>
      <c r="D405" s="294" t="s">
        <v>55</v>
      </c>
      <c r="E405" s="213">
        <v>905.52</v>
      </c>
      <c r="F405" s="217">
        <v>293.4</v>
      </c>
      <c r="G405" s="104">
        <f t="shared" si="79"/>
        <v>0.3240127219719056</v>
      </c>
      <c r="H405" s="214">
        <f t="shared" si="81"/>
        <v>905.52</v>
      </c>
      <c r="I405" s="213">
        <f t="shared" si="82"/>
        <v>293.4</v>
      </c>
      <c r="J405" s="129">
        <f t="shared" si="80"/>
        <v>0.3240127219719056</v>
      </c>
      <c r="K405" s="228"/>
      <c r="L405" s="222"/>
      <c r="M405" s="170"/>
      <c r="N405" s="339"/>
      <c r="O405" s="325"/>
      <c r="P405" s="30"/>
    </row>
    <row r="406" spans="1:16" ht="18.75">
      <c r="A406" s="7"/>
      <c r="B406" s="15"/>
      <c r="C406" s="15">
        <v>4419</v>
      </c>
      <c r="D406" s="294" t="s">
        <v>55</v>
      </c>
      <c r="E406" s="213">
        <v>71.48</v>
      </c>
      <c r="F406" s="217">
        <v>34.92</v>
      </c>
      <c r="G406" s="104">
        <f t="shared" si="79"/>
        <v>0.4885282596530498</v>
      </c>
      <c r="H406" s="214">
        <f t="shared" si="81"/>
        <v>71.48</v>
      </c>
      <c r="I406" s="213">
        <f t="shared" si="82"/>
        <v>34.92</v>
      </c>
      <c r="J406" s="129">
        <f t="shared" si="80"/>
        <v>0.4885282596530498</v>
      </c>
      <c r="K406" s="228"/>
      <c r="L406" s="222"/>
      <c r="M406" s="170"/>
      <c r="N406" s="339"/>
      <c r="O406" s="325"/>
      <c r="P406" s="30"/>
    </row>
    <row r="407" spans="1:16" ht="18.75">
      <c r="A407" s="7"/>
      <c r="B407" s="15"/>
      <c r="C407" s="15">
        <v>4447</v>
      </c>
      <c r="D407" s="296" t="s">
        <v>124</v>
      </c>
      <c r="E407" s="213">
        <v>982.18</v>
      </c>
      <c r="F407" s="217">
        <v>736.63</v>
      </c>
      <c r="G407" s="104">
        <f t="shared" si="79"/>
        <v>0.7499949092834308</v>
      </c>
      <c r="H407" s="214">
        <f t="shared" si="81"/>
        <v>982.18</v>
      </c>
      <c r="I407" s="213">
        <f t="shared" si="82"/>
        <v>736.63</v>
      </c>
      <c r="J407" s="129">
        <f t="shared" si="80"/>
        <v>0.7499949092834308</v>
      </c>
      <c r="K407" s="228"/>
      <c r="L407" s="222"/>
      <c r="M407" s="170"/>
      <c r="N407" s="339"/>
      <c r="O407" s="325"/>
      <c r="P407" s="30"/>
    </row>
    <row r="408" spans="1:16" ht="18.75">
      <c r="A408" s="7"/>
      <c r="B408" s="15"/>
      <c r="C408" s="15">
        <v>4449</v>
      </c>
      <c r="D408" s="296" t="s">
        <v>124</v>
      </c>
      <c r="E408" s="213">
        <v>57.82</v>
      </c>
      <c r="F408" s="217">
        <v>43.37</v>
      </c>
      <c r="G408" s="104">
        <f t="shared" si="79"/>
        <v>0.7500864752680733</v>
      </c>
      <c r="H408" s="214">
        <f t="shared" si="81"/>
        <v>57.82</v>
      </c>
      <c r="I408" s="213">
        <f t="shared" si="82"/>
        <v>43.37</v>
      </c>
      <c r="J408" s="129">
        <f t="shared" si="80"/>
        <v>0.7500864752680733</v>
      </c>
      <c r="K408" s="228"/>
      <c r="L408" s="222"/>
      <c r="M408" s="170"/>
      <c r="N408" s="339"/>
      <c r="O408" s="325"/>
      <c r="P408" s="30"/>
    </row>
    <row r="409" spans="1:16" ht="37.5">
      <c r="A409" s="7"/>
      <c r="B409" s="15"/>
      <c r="C409" s="199">
        <v>4747</v>
      </c>
      <c r="D409" s="294" t="s">
        <v>157</v>
      </c>
      <c r="E409" s="213">
        <v>419.32</v>
      </c>
      <c r="F409" s="217">
        <v>146.38</v>
      </c>
      <c r="G409" s="104">
        <f t="shared" si="79"/>
        <v>0.349089001240103</v>
      </c>
      <c r="H409" s="214">
        <f t="shared" si="81"/>
        <v>419.32</v>
      </c>
      <c r="I409" s="213">
        <f t="shared" si="82"/>
        <v>146.38</v>
      </c>
      <c r="J409" s="129">
        <f t="shared" si="80"/>
        <v>0.349089001240103</v>
      </c>
      <c r="K409" s="228"/>
      <c r="L409" s="222"/>
      <c r="M409" s="170"/>
      <c r="N409" s="339"/>
      <c r="O409" s="325"/>
      <c r="P409" s="30"/>
    </row>
    <row r="410" spans="1:16" ht="37.5">
      <c r="A410" s="7"/>
      <c r="B410" s="15"/>
      <c r="C410" s="199">
        <v>4749</v>
      </c>
      <c r="D410" s="294" t="s">
        <v>157</v>
      </c>
      <c r="E410" s="213">
        <v>40.68</v>
      </c>
      <c r="F410" s="217">
        <v>8.62</v>
      </c>
      <c r="G410" s="104">
        <f t="shared" si="79"/>
        <v>0.211897738446411</v>
      </c>
      <c r="H410" s="214">
        <f t="shared" si="81"/>
        <v>40.68</v>
      </c>
      <c r="I410" s="213">
        <f t="shared" si="82"/>
        <v>8.62</v>
      </c>
      <c r="J410" s="129">
        <f t="shared" si="80"/>
        <v>0.211897738446411</v>
      </c>
      <c r="K410" s="228"/>
      <c r="L410" s="222"/>
      <c r="M410" s="170"/>
      <c r="N410" s="339"/>
      <c r="O410" s="325"/>
      <c r="P410" s="30"/>
    </row>
    <row r="411" spans="1:16" ht="37.5">
      <c r="A411" s="7"/>
      <c r="B411" s="15"/>
      <c r="C411" s="199">
        <v>4757</v>
      </c>
      <c r="D411" s="294" t="s">
        <v>158</v>
      </c>
      <c r="E411" s="213">
        <v>233</v>
      </c>
      <c r="F411" s="217">
        <v>72.07</v>
      </c>
      <c r="G411" s="104">
        <f t="shared" si="79"/>
        <v>0.30931330472103</v>
      </c>
      <c r="H411" s="214">
        <f t="shared" si="81"/>
        <v>233</v>
      </c>
      <c r="I411" s="213">
        <f t="shared" si="82"/>
        <v>72.07</v>
      </c>
      <c r="J411" s="129">
        <f t="shared" si="80"/>
        <v>0.30931330472103</v>
      </c>
      <c r="K411" s="228"/>
      <c r="L411" s="222"/>
      <c r="M411" s="170"/>
      <c r="N411" s="228"/>
      <c r="O411" s="222"/>
      <c r="P411" s="30"/>
    </row>
    <row r="412" spans="1:16" ht="38.25" thickBot="1">
      <c r="A412" s="7"/>
      <c r="B412" s="15"/>
      <c r="C412" s="199">
        <v>4759</v>
      </c>
      <c r="D412" s="294" t="s">
        <v>158</v>
      </c>
      <c r="E412" s="213">
        <v>40</v>
      </c>
      <c r="F412" s="217">
        <v>12.72</v>
      </c>
      <c r="G412" s="104">
        <f>F412/E412</f>
        <v>0.318</v>
      </c>
      <c r="H412" s="214">
        <f t="shared" si="81"/>
        <v>40</v>
      </c>
      <c r="I412" s="213">
        <f t="shared" si="82"/>
        <v>12.72</v>
      </c>
      <c r="J412" s="129">
        <f t="shared" si="80"/>
        <v>0.318</v>
      </c>
      <c r="K412" s="228"/>
      <c r="L412" s="222"/>
      <c r="M412" s="170"/>
      <c r="N412" s="228"/>
      <c r="O412" s="484"/>
      <c r="P412" s="30"/>
    </row>
    <row r="413" spans="1:16" ht="19.5" thickBot="1">
      <c r="A413" s="12">
        <v>854</v>
      </c>
      <c r="B413" s="12"/>
      <c r="C413" s="12"/>
      <c r="D413" s="12" t="s">
        <v>40</v>
      </c>
      <c r="E413" s="215">
        <f>E414+E424+E426</f>
        <v>217520</v>
      </c>
      <c r="F413" s="215">
        <f>F414+F424+F426</f>
        <v>101479.54999999999</v>
      </c>
      <c r="G413" s="92">
        <f>F413/E413</f>
        <v>0.4665297443913203</v>
      </c>
      <c r="H413" s="215">
        <f>H414+H424+H426</f>
        <v>217520</v>
      </c>
      <c r="I413" s="215">
        <f>I414+I424+I426</f>
        <v>101479.54999999999</v>
      </c>
      <c r="J413" s="93">
        <f aca="true" t="shared" si="83" ref="J413:J423">I413/H413</f>
        <v>0.4665297443913203</v>
      </c>
      <c r="K413" s="227"/>
      <c r="L413" s="215"/>
      <c r="M413" s="150"/>
      <c r="N413" s="227"/>
      <c r="O413" s="227"/>
      <c r="P413" s="14"/>
    </row>
    <row r="414" spans="1:16" ht="18.75">
      <c r="A414" s="15"/>
      <c r="B414" s="15">
        <v>85401</v>
      </c>
      <c r="C414" s="15"/>
      <c r="D414" s="15" t="s">
        <v>67</v>
      </c>
      <c r="E414" s="211">
        <f>SUM(E415:E423)</f>
        <v>135700</v>
      </c>
      <c r="F414" s="211">
        <f>SUM(F415:F423)</f>
        <v>63163.54999999999</v>
      </c>
      <c r="G414" s="126">
        <f aca="true" t="shared" si="84" ref="G414:G422">F414/E414</f>
        <v>0.46546462785556364</v>
      </c>
      <c r="H414" s="211">
        <f>SUM(H415:H423)</f>
        <v>135700</v>
      </c>
      <c r="I414" s="211">
        <f>SUM(I415:I423)</f>
        <v>63163.54999999999</v>
      </c>
      <c r="J414" s="151">
        <f t="shared" si="83"/>
        <v>0.46546462785556364</v>
      </c>
      <c r="K414" s="225"/>
      <c r="L414" s="211"/>
      <c r="M414" s="162"/>
      <c r="N414" s="225"/>
      <c r="O414" s="211"/>
      <c r="P414" s="26"/>
    </row>
    <row r="415" spans="1:16" ht="18.75">
      <c r="A415" s="15"/>
      <c r="B415" s="15"/>
      <c r="C415" s="15">
        <v>3020</v>
      </c>
      <c r="D415" s="296" t="s">
        <v>123</v>
      </c>
      <c r="E415" s="213">
        <v>7600</v>
      </c>
      <c r="F415" s="217">
        <v>1497.21</v>
      </c>
      <c r="G415" s="104">
        <f t="shared" si="84"/>
        <v>0.1970013157894737</v>
      </c>
      <c r="H415" s="213">
        <f>E415</f>
        <v>7600</v>
      </c>
      <c r="I415" s="217">
        <f>F415</f>
        <v>1497.21</v>
      </c>
      <c r="J415" s="139">
        <f t="shared" si="83"/>
        <v>0.1970013157894737</v>
      </c>
      <c r="K415" s="228"/>
      <c r="L415" s="222"/>
      <c r="M415" s="148"/>
      <c r="N415" s="228"/>
      <c r="O415" s="222"/>
      <c r="P415" s="30"/>
    </row>
    <row r="416" spans="1:16" ht="18.75">
      <c r="A416" s="15"/>
      <c r="B416" s="15"/>
      <c r="C416" s="15">
        <v>4010</v>
      </c>
      <c r="D416" s="296" t="s">
        <v>47</v>
      </c>
      <c r="E416" s="213">
        <v>87060</v>
      </c>
      <c r="F416" s="217">
        <v>37430.7</v>
      </c>
      <c r="G416" s="104">
        <f t="shared" si="84"/>
        <v>0.4299414197105444</v>
      </c>
      <c r="H416" s="213">
        <f aca="true" t="shared" si="85" ref="H416:H423">E416</f>
        <v>87060</v>
      </c>
      <c r="I416" s="217">
        <f aca="true" t="shared" si="86" ref="I416:I423">F416</f>
        <v>37430.7</v>
      </c>
      <c r="J416" s="139">
        <f t="shared" si="83"/>
        <v>0.4299414197105444</v>
      </c>
      <c r="K416" s="228"/>
      <c r="L416" s="222"/>
      <c r="M416" s="170"/>
      <c r="N416" s="228"/>
      <c r="O416" s="222"/>
      <c r="P416" s="30"/>
    </row>
    <row r="417" spans="1:16" ht="18.75">
      <c r="A417" s="15"/>
      <c r="B417" s="15"/>
      <c r="C417" s="15">
        <v>4040</v>
      </c>
      <c r="D417" s="296" t="s">
        <v>48</v>
      </c>
      <c r="E417" s="213">
        <v>7100</v>
      </c>
      <c r="F417" s="217">
        <v>7075.56</v>
      </c>
      <c r="G417" s="104">
        <f t="shared" si="84"/>
        <v>0.9965577464788733</v>
      </c>
      <c r="H417" s="213">
        <f t="shared" si="85"/>
        <v>7100</v>
      </c>
      <c r="I417" s="217">
        <f t="shared" si="86"/>
        <v>7075.56</v>
      </c>
      <c r="J417" s="139">
        <f t="shared" si="83"/>
        <v>0.9965577464788733</v>
      </c>
      <c r="K417" s="228"/>
      <c r="L417" s="222"/>
      <c r="M417" s="170"/>
      <c r="N417" s="228"/>
      <c r="O417" s="222"/>
      <c r="P417" s="30"/>
    </row>
    <row r="418" spans="1:16" ht="18.75">
      <c r="A418" s="7"/>
      <c r="B418" s="15"/>
      <c r="C418" s="15">
        <v>4110</v>
      </c>
      <c r="D418" s="296" t="s">
        <v>49</v>
      </c>
      <c r="E418" s="213">
        <v>15550</v>
      </c>
      <c r="F418" s="217">
        <v>6737.6</v>
      </c>
      <c r="G418" s="104">
        <f t="shared" si="84"/>
        <v>0.4332861736334405</v>
      </c>
      <c r="H418" s="213">
        <f t="shared" si="85"/>
        <v>15550</v>
      </c>
      <c r="I418" s="217">
        <f t="shared" si="86"/>
        <v>6737.6</v>
      </c>
      <c r="J418" s="139">
        <f t="shared" si="83"/>
        <v>0.4332861736334405</v>
      </c>
      <c r="K418" s="228"/>
      <c r="L418" s="222"/>
      <c r="M418" s="148"/>
      <c r="N418" s="228"/>
      <c r="O418" s="222"/>
      <c r="P418" s="30"/>
    </row>
    <row r="419" spans="1:16" ht="18.75">
      <c r="A419" s="7"/>
      <c r="B419" s="15"/>
      <c r="C419" s="15">
        <v>4120</v>
      </c>
      <c r="D419" s="296" t="s">
        <v>50</v>
      </c>
      <c r="E419" s="213">
        <v>2480</v>
      </c>
      <c r="F419" s="217">
        <v>1163.87</v>
      </c>
      <c r="G419" s="104">
        <f t="shared" si="84"/>
        <v>0.4693024193548387</v>
      </c>
      <c r="H419" s="213">
        <f t="shared" si="85"/>
        <v>2480</v>
      </c>
      <c r="I419" s="217">
        <f t="shared" si="86"/>
        <v>1163.87</v>
      </c>
      <c r="J419" s="139">
        <f t="shared" si="83"/>
        <v>0.4693024193548387</v>
      </c>
      <c r="K419" s="228"/>
      <c r="L419" s="222"/>
      <c r="M419" s="148"/>
      <c r="N419" s="228"/>
      <c r="O419" s="222"/>
      <c r="P419" s="30"/>
    </row>
    <row r="420" spans="1:16" ht="18.75">
      <c r="A420" s="5"/>
      <c r="B420" s="15"/>
      <c r="C420" s="15">
        <v>4210</v>
      </c>
      <c r="D420" s="296" t="s">
        <v>42</v>
      </c>
      <c r="E420" s="213">
        <v>7960</v>
      </c>
      <c r="F420" s="217">
        <v>4863.52</v>
      </c>
      <c r="G420" s="104">
        <f t="shared" si="84"/>
        <v>0.6109949748743719</v>
      </c>
      <c r="H420" s="213">
        <f t="shared" si="85"/>
        <v>7960</v>
      </c>
      <c r="I420" s="217">
        <f t="shared" si="86"/>
        <v>4863.52</v>
      </c>
      <c r="J420" s="139">
        <f t="shared" si="83"/>
        <v>0.6109949748743719</v>
      </c>
      <c r="K420" s="228"/>
      <c r="L420" s="222"/>
      <c r="M420" s="148"/>
      <c r="N420" s="228"/>
      <c r="O420" s="222"/>
      <c r="P420" s="30"/>
    </row>
    <row r="421" spans="1:16" ht="18.75">
      <c r="A421" s="15"/>
      <c r="B421" s="15"/>
      <c r="C421" s="15">
        <v>4240</v>
      </c>
      <c r="D421" s="296" t="s">
        <v>129</v>
      </c>
      <c r="E421" s="213">
        <v>2400</v>
      </c>
      <c r="F421" s="217">
        <v>535.09</v>
      </c>
      <c r="G421" s="104">
        <f t="shared" si="84"/>
        <v>0.22295416666666668</v>
      </c>
      <c r="H421" s="213">
        <f t="shared" si="85"/>
        <v>2400</v>
      </c>
      <c r="I421" s="217">
        <f t="shared" si="86"/>
        <v>535.09</v>
      </c>
      <c r="J421" s="139">
        <f t="shared" si="83"/>
        <v>0.22295416666666668</v>
      </c>
      <c r="K421" s="228"/>
      <c r="L421" s="222"/>
      <c r="M421" s="148"/>
      <c r="N421" s="228"/>
      <c r="O421" s="222"/>
      <c r="P421" s="30"/>
    </row>
    <row r="422" spans="1:16" ht="18.75">
      <c r="A422" s="15"/>
      <c r="B422" s="15"/>
      <c r="C422" s="15">
        <v>4280</v>
      </c>
      <c r="D422" s="296" t="s">
        <v>102</v>
      </c>
      <c r="E422" s="213">
        <v>400</v>
      </c>
      <c r="F422" s="217">
        <v>0</v>
      </c>
      <c r="G422" s="104">
        <f t="shared" si="84"/>
        <v>0</v>
      </c>
      <c r="H422" s="213">
        <f t="shared" si="85"/>
        <v>400</v>
      </c>
      <c r="I422" s="217">
        <f t="shared" si="86"/>
        <v>0</v>
      </c>
      <c r="J422" s="139">
        <f t="shared" si="83"/>
        <v>0</v>
      </c>
      <c r="K422" s="228"/>
      <c r="L422" s="222"/>
      <c r="M422" s="148"/>
      <c r="N422" s="228"/>
      <c r="O422" s="222"/>
      <c r="P422" s="30"/>
    </row>
    <row r="423" spans="1:16" ht="18.75">
      <c r="A423" s="15"/>
      <c r="B423" s="15"/>
      <c r="C423" s="15">
        <v>4440</v>
      </c>
      <c r="D423" s="296" t="s">
        <v>124</v>
      </c>
      <c r="E423" s="213">
        <v>5150</v>
      </c>
      <c r="F423" s="217">
        <v>3860</v>
      </c>
      <c r="G423" s="104">
        <f aca="true" t="shared" si="87" ref="G423:G442">F423/E423</f>
        <v>0.7495145631067961</v>
      </c>
      <c r="H423" s="213">
        <f t="shared" si="85"/>
        <v>5150</v>
      </c>
      <c r="I423" s="217">
        <f t="shared" si="86"/>
        <v>3860</v>
      </c>
      <c r="J423" s="139">
        <f t="shared" si="83"/>
        <v>0.7495145631067961</v>
      </c>
      <c r="K423" s="228"/>
      <c r="L423" s="222"/>
      <c r="M423" s="148"/>
      <c r="N423" s="228"/>
      <c r="O423" s="222"/>
      <c r="P423" s="30"/>
    </row>
    <row r="424" spans="1:16" ht="18.75">
      <c r="A424" s="15"/>
      <c r="B424" s="22">
        <v>85415</v>
      </c>
      <c r="C424" s="22"/>
      <c r="D424" s="22" t="s">
        <v>80</v>
      </c>
      <c r="E424" s="218">
        <f>E425</f>
        <v>80740</v>
      </c>
      <c r="F424" s="218">
        <f>F425</f>
        <v>38316</v>
      </c>
      <c r="G424" s="126">
        <f t="shared" si="87"/>
        <v>0.47456031706712903</v>
      </c>
      <c r="H424" s="218">
        <f>SUM(H425:H425)</f>
        <v>80740</v>
      </c>
      <c r="I424" s="218">
        <f>SUM(I425:I425)</f>
        <v>38316</v>
      </c>
      <c r="J424" s="86">
        <f aca="true" t="shared" si="88" ref="J424:J439">I424/H424</f>
        <v>0.47456031706712903</v>
      </c>
      <c r="K424" s="236"/>
      <c r="L424" s="218"/>
      <c r="M424" s="147"/>
      <c r="N424" s="236"/>
      <c r="O424" s="218"/>
      <c r="P424" s="23"/>
    </row>
    <row r="425" spans="1:16" ht="18.75">
      <c r="A425" s="15"/>
      <c r="B425" s="15"/>
      <c r="C425" s="48">
        <v>3240</v>
      </c>
      <c r="D425" s="296" t="s">
        <v>100</v>
      </c>
      <c r="E425" s="213">
        <v>80740</v>
      </c>
      <c r="F425" s="217">
        <v>38316</v>
      </c>
      <c r="G425" s="104">
        <f t="shared" si="87"/>
        <v>0.47456031706712903</v>
      </c>
      <c r="H425" s="213">
        <f>E425</f>
        <v>80740</v>
      </c>
      <c r="I425" s="217">
        <f>F425</f>
        <v>38316</v>
      </c>
      <c r="J425" s="139">
        <f t="shared" si="88"/>
        <v>0.47456031706712903</v>
      </c>
      <c r="K425" s="226"/>
      <c r="L425" s="213"/>
      <c r="M425" s="163"/>
      <c r="N425" s="226"/>
      <c r="O425" s="213"/>
      <c r="P425" s="26"/>
    </row>
    <row r="426" spans="1:16" ht="18.75">
      <c r="A426" s="15"/>
      <c r="B426" s="22">
        <v>85446</v>
      </c>
      <c r="C426" s="22"/>
      <c r="D426" s="22" t="s">
        <v>64</v>
      </c>
      <c r="E426" s="218">
        <f>E427</f>
        <v>1080</v>
      </c>
      <c r="F426" s="218">
        <f>F427</f>
        <v>0</v>
      </c>
      <c r="G426" s="103">
        <f t="shared" si="87"/>
        <v>0</v>
      </c>
      <c r="H426" s="218">
        <f>SUM(H427:H427)</f>
        <v>1080</v>
      </c>
      <c r="I426" s="218">
        <f>SUM(I427:I427)</f>
        <v>0</v>
      </c>
      <c r="J426" s="86">
        <f>I426/H426</f>
        <v>0</v>
      </c>
      <c r="K426" s="236"/>
      <c r="L426" s="218"/>
      <c r="M426" s="147"/>
      <c r="N426" s="236"/>
      <c r="O426" s="218"/>
      <c r="P426" s="23"/>
    </row>
    <row r="427" spans="1:16" ht="19.5" thickBot="1">
      <c r="A427" s="15"/>
      <c r="B427" s="15"/>
      <c r="C427" s="15">
        <v>4300</v>
      </c>
      <c r="D427" s="296" t="s">
        <v>44</v>
      </c>
      <c r="E427" s="213">
        <v>1080</v>
      </c>
      <c r="F427" s="217">
        <v>0</v>
      </c>
      <c r="G427" s="104">
        <f t="shared" si="87"/>
        <v>0</v>
      </c>
      <c r="H427" s="222">
        <f>E427</f>
        <v>1080</v>
      </c>
      <c r="I427" s="222">
        <v>0</v>
      </c>
      <c r="J427" s="139">
        <f>I427/H427</f>
        <v>0</v>
      </c>
      <c r="K427" s="228"/>
      <c r="L427" s="222"/>
      <c r="M427" s="148"/>
      <c r="N427" s="228"/>
      <c r="O427" s="222"/>
      <c r="P427" s="30"/>
    </row>
    <row r="428" spans="1:16" ht="19.5" thickBot="1">
      <c r="A428" s="12">
        <v>900</v>
      </c>
      <c r="B428" s="12"/>
      <c r="C428" s="12"/>
      <c r="D428" s="12" t="s">
        <v>68</v>
      </c>
      <c r="E428" s="215">
        <f>E429+E435+E438+E440+E443+E459+E464+E466</f>
        <v>4921010</v>
      </c>
      <c r="F428" s="215">
        <f>F429+F435+F438+F440+F443+F459+F464+F466</f>
        <v>785636.24</v>
      </c>
      <c r="G428" s="92">
        <f t="shared" si="87"/>
        <v>0.1596493890481832</v>
      </c>
      <c r="H428" s="215">
        <f>H429+H435+H438+H440+H443+H459+H464+H466</f>
        <v>4741010</v>
      </c>
      <c r="I428" s="215">
        <f>I429+I435+I438+I440+I443+I459+I464+I466</f>
        <v>714800.7300000001</v>
      </c>
      <c r="J428" s="93">
        <f t="shared" si="88"/>
        <v>0.1507697157356766</v>
      </c>
      <c r="K428" s="293"/>
      <c r="L428" s="242"/>
      <c r="M428" s="168"/>
      <c r="N428" s="237">
        <f>N435+N438+N440+N443+N459+N464+N466</f>
        <v>180000</v>
      </c>
      <c r="O428" s="335">
        <f>O435+O438+O440+O443+O459</f>
        <v>70835.51000000001</v>
      </c>
      <c r="P428" s="14">
        <f>O428/N428</f>
        <v>0.39353061111111115</v>
      </c>
    </row>
    <row r="429" spans="1:16" ht="18.75">
      <c r="A429" s="25"/>
      <c r="B429" s="15">
        <v>90001</v>
      </c>
      <c r="C429" s="15"/>
      <c r="D429" s="15" t="s">
        <v>179</v>
      </c>
      <c r="E429" s="212">
        <f>SUM(E430:E434)</f>
        <v>3372710</v>
      </c>
      <c r="F429" s="212">
        <f>SUM(F430:F434)</f>
        <v>85572.18</v>
      </c>
      <c r="G429" s="126">
        <f t="shared" si="87"/>
        <v>0.02537193532797068</v>
      </c>
      <c r="H429" s="212">
        <f>SUM(H430:H434)</f>
        <v>3372710</v>
      </c>
      <c r="I429" s="212">
        <f>SUM(I430:I434)</f>
        <v>85572.18</v>
      </c>
      <c r="J429" s="77">
        <f aca="true" t="shared" si="89" ref="J429:J434">I429/H429</f>
        <v>0.02537193532797068</v>
      </c>
      <c r="K429" s="225"/>
      <c r="L429" s="211"/>
      <c r="M429" s="130"/>
      <c r="N429" s="336"/>
      <c r="O429" s="334"/>
      <c r="P429" s="182"/>
    </row>
    <row r="430" spans="1:16" ht="18.75">
      <c r="A430" s="25"/>
      <c r="B430" s="15"/>
      <c r="C430" s="15">
        <v>4270</v>
      </c>
      <c r="D430" s="296" t="s">
        <v>43</v>
      </c>
      <c r="E430" s="214">
        <v>10000</v>
      </c>
      <c r="F430" s="214">
        <v>0</v>
      </c>
      <c r="G430" s="104">
        <f t="shared" si="87"/>
        <v>0</v>
      </c>
      <c r="H430" s="214">
        <f>E430</f>
        <v>10000</v>
      </c>
      <c r="I430" s="214">
        <f>F430</f>
        <v>0</v>
      </c>
      <c r="J430" s="78">
        <f t="shared" si="89"/>
        <v>0</v>
      </c>
      <c r="K430" s="225"/>
      <c r="L430" s="211"/>
      <c r="M430" s="130"/>
      <c r="N430" s="336"/>
      <c r="O430" s="334"/>
      <c r="P430" s="182"/>
    </row>
    <row r="431" spans="1:16" ht="18.75">
      <c r="A431" s="25"/>
      <c r="B431" s="15"/>
      <c r="C431" s="15">
        <v>4300</v>
      </c>
      <c r="D431" s="296" t="s">
        <v>44</v>
      </c>
      <c r="E431" s="214">
        <v>39310</v>
      </c>
      <c r="F431" s="214">
        <v>15450</v>
      </c>
      <c r="G431" s="104">
        <f t="shared" si="87"/>
        <v>0.3930297634189774</v>
      </c>
      <c r="H431" s="214">
        <v>39310</v>
      </c>
      <c r="I431" s="214">
        <v>15450</v>
      </c>
      <c r="J431" s="472">
        <f t="shared" si="89"/>
        <v>0.3930297634189774</v>
      </c>
      <c r="K431" s="253"/>
      <c r="L431" s="211"/>
      <c r="M431" s="130"/>
      <c r="N431" s="336"/>
      <c r="O431" s="334"/>
      <c r="P431" s="182"/>
    </row>
    <row r="432" spans="1:16" ht="18.75">
      <c r="A432" s="25"/>
      <c r="B432" s="15"/>
      <c r="C432" s="15">
        <v>6050</v>
      </c>
      <c r="D432" s="296" t="s">
        <v>72</v>
      </c>
      <c r="E432" s="214">
        <v>210000</v>
      </c>
      <c r="F432" s="214">
        <v>1937.07</v>
      </c>
      <c r="G432" s="104">
        <f t="shared" si="87"/>
        <v>0.009224142857142856</v>
      </c>
      <c r="H432" s="214">
        <v>210000</v>
      </c>
      <c r="I432" s="214">
        <v>1937.07</v>
      </c>
      <c r="J432" s="472">
        <f t="shared" si="89"/>
        <v>0.009224142857142856</v>
      </c>
      <c r="K432" s="253"/>
      <c r="L432" s="211"/>
      <c r="M432" s="130"/>
      <c r="N432" s="336"/>
      <c r="O432" s="334"/>
      <c r="P432" s="182"/>
    </row>
    <row r="433" spans="1:16" ht="18.75">
      <c r="A433" s="25"/>
      <c r="B433" s="15"/>
      <c r="C433" s="15">
        <v>6057</v>
      </c>
      <c r="D433" s="296" t="s">
        <v>72</v>
      </c>
      <c r="E433" s="214">
        <v>2122400</v>
      </c>
      <c r="F433" s="214">
        <v>37741.56</v>
      </c>
      <c r="G433" s="104">
        <f t="shared" si="87"/>
        <v>0.017782491519035052</v>
      </c>
      <c r="H433" s="214">
        <v>2122400</v>
      </c>
      <c r="I433" s="214">
        <v>37741.56</v>
      </c>
      <c r="J433" s="472">
        <f t="shared" si="89"/>
        <v>0.017782491519035052</v>
      </c>
      <c r="K433" s="253"/>
      <c r="L433" s="211"/>
      <c r="M433" s="130"/>
      <c r="N433" s="336"/>
      <c r="O433" s="334"/>
      <c r="P433" s="182"/>
    </row>
    <row r="434" spans="1:16" ht="18.75">
      <c r="A434" s="25"/>
      <c r="B434" s="25"/>
      <c r="C434" s="15">
        <v>6059</v>
      </c>
      <c r="D434" s="296" t="s">
        <v>72</v>
      </c>
      <c r="E434" s="214">
        <v>991000</v>
      </c>
      <c r="F434" s="214">
        <v>30443.55</v>
      </c>
      <c r="G434" s="104">
        <f t="shared" si="87"/>
        <v>0.030720030272452067</v>
      </c>
      <c r="H434" s="214">
        <f>E434</f>
        <v>991000</v>
      </c>
      <c r="I434" s="214">
        <f>F434</f>
        <v>30443.55</v>
      </c>
      <c r="J434" s="78">
        <f t="shared" si="89"/>
        <v>0.030720030272452067</v>
      </c>
      <c r="K434" s="225"/>
      <c r="L434" s="211"/>
      <c r="M434" s="130"/>
      <c r="N434" s="337"/>
      <c r="O434" s="334"/>
      <c r="P434" s="182"/>
    </row>
    <row r="435" spans="1:16" ht="18.75">
      <c r="A435" s="7"/>
      <c r="B435" s="22">
        <v>90002</v>
      </c>
      <c r="C435" s="22"/>
      <c r="D435" s="22" t="s">
        <v>139</v>
      </c>
      <c r="E435" s="216">
        <f>SUM(E436:E437)</f>
        <v>81000</v>
      </c>
      <c r="F435" s="216">
        <f>SUM(F436:F437)</f>
        <v>21906.54</v>
      </c>
      <c r="G435" s="103">
        <f t="shared" si="87"/>
        <v>0.27045111111111114</v>
      </c>
      <c r="H435" s="216">
        <f>SUM(H436:H437)</f>
        <v>81000</v>
      </c>
      <c r="I435" s="216">
        <f>SUM(I436:I436)</f>
        <v>21906.54</v>
      </c>
      <c r="J435" s="86">
        <f t="shared" si="88"/>
        <v>0.27045111111111114</v>
      </c>
      <c r="K435" s="483"/>
      <c r="L435" s="224"/>
      <c r="M435" s="153"/>
      <c r="N435" s="229"/>
      <c r="O435" s="224"/>
      <c r="P435" s="154"/>
    </row>
    <row r="436" spans="1:16" ht="18.75">
      <c r="A436" s="7"/>
      <c r="B436" s="15"/>
      <c r="C436" s="15">
        <v>4300</v>
      </c>
      <c r="D436" s="296" t="s">
        <v>44</v>
      </c>
      <c r="E436" s="214">
        <v>61000</v>
      </c>
      <c r="F436" s="214">
        <v>21906.54</v>
      </c>
      <c r="G436" s="104">
        <f t="shared" si="87"/>
        <v>0.3591236065573771</v>
      </c>
      <c r="H436" s="214">
        <v>61000</v>
      </c>
      <c r="I436" s="214">
        <v>21906.54</v>
      </c>
      <c r="J436" s="472">
        <f t="shared" si="88"/>
        <v>0.3591236065573771</v>
      </c>
      <c r="K436" s="339"/>
      <c r="L436" s="222"/>
      <c r="M436" s="170"/>
      <c r="N436" s="228"/>
      <c r="O436" s="222"/>
      <c r="P436" s="30"/>
    </row>
    <row r="437" spans="1:16" ht="18.75">
      <c r="A437" s="7"/>
      <c r="B437" s="15"/>
      <c r="C437" s="15">
        <v>6050</v>
      </c>
      <c r="D437" s="296" t="s">
        <v>72</v>
      </c>
      <c r="E437" s="214">
        <v>20000</v>
      </c>
      <c r="F437" s="214">
        <v>0</v>
      </c>
      <c r="G437" s="409">
        <f t="shared" si="87"/>
        <v>0</v>
      </c>
      <c r="H437" s="214">
        <v>20000</v>
      </c>
      <c r="I437" s="214">
        <v>0</v>
      </c>
      <c r="J437" s="472">
        <f t="shared" si="88"/>
        <v>0</v>
      </c>
      <c r="K437" s="481"/>
      <c r="L437" s="222"/>
      <c r="M437" s="170"/>
      <c r="N437" s="228"/>
      <c r="O437" s="222"/>
      <c r="P437" s="30"/>
    </row>
    <row r="438" spans="1:16" ht="18.75">
      <c r="A438" s="5"/>
      <c r="B438" s="22">
        <v>90003</v>
      </c>
      <c r="C438" s="22"/>
      <c r="D438" s="22" t="s">
        <v>69</v>
      </c>
      <c r="E438" s="218">
        <f>E439</f>
        <v>205000</v>
      </c>
      <c r="F438" s="218">
        <f>F439</f>
        <v>133333.73</v>
      </c>
      <c r="G438" s="126">
        <f t="shared" si="87"/>
        <v>0.6504084390243903</v>
      </c>
      <c r="H438" s="218">
        <f>SUM(H439:H439)</f>
        <v>205000</v>
      </c>
      <c r="I438" s="218">
        <f>I439</f>
        <v>133333.73</v>
      </c>
      <c r="J438" s="164">
        <f t="shared" si="88"/>
        <v>0.6504084390243903</v>
      </c>
      <c r="K438" s="229"/>
      <c r="L438" s="224"/>
      <c r="M438" s="153"/>
      <c r="N438" s="229"/>
      <c r="O438" s="224"/>
      <c r="P438" s="154"/>
    </row>
    <row r="439" spans="1:16" ht="18.75">
      <c r="A439" s="5"/>
      <c r="B439" s="15"/>
      <c r="C439" s="15">
        <v>4300</v>
      </c>
      <c r="D439" s="296" t="s">
        <v>44</v>
      </c>
      <c r="E439" s="213">
        <v>205000</v>
      </c>
      <c r="F439" s="217">
        <v>133333.73</v>
      </c>
      <c r="G439" s="104">
        <f t="shared" si="87"/>
        <v>0.6504084390243903</v>
      </c>
      <c r="H439" s="217">
        <f>E439</f>
        <v>205000</v>
      </c>
      <c r="I439" s="217">
        <f>F439</f>
        <v>133333.73</v>
      </c>
      <c r="J439" s="139">
        <f t="shared" si="88"/>
        <v>0.6504084390243903</v>
      </c>
      <c r="K439" s="228"/>
      <c r="L439" s="222"/>
      <c r="M439" s="148"/>
      <c r="N439" s="228"/>
      <c r="O439" s="222"/>
      <c r="P439" s="30"/>
    </row>
    <row r="440" spans="1:16" ht="18.75">
      <c r="A440" s="7"/>
      <c r="B440" s="22">
        <v>90004</v>
      </c>
      <c r="C440" s="22"/>
      <c r="D440" s="22" t="s">
        <v>70</v>
      </c>
      <c r="E440" s="218">
        <f>SUM(E441:E442)</f>
        <v>94000</v>
      </c>
      <c r="F440" s="218">
        <f>SUM(F441:F442)</f>
        <v>20466.73</v>
      </c>
      <c r="G440" s="103">
        <f t="shared" si="87"/>
        <v>0.21773117021276595</v>
      </c>
      <c r="H440" s="218">
        <f>H441+H442</f>
        <v>94000</v>
      </c>
      <c r="I440" s="218">
        <f>I441+I442</f>
        <v>20466.73</v>
      </c>
      <c r="J440" s="86">
        <f aca="true" t="shared" si="90" ref="J440:J463">I440/H440</f>
        <v>0.21773117021276595</v>
      </c>
      <c r="K440" s="229"/>
      <c r="L440" s="224"/>
      <c r="M440" s="153"/>
      <c r="N440" s="229"/>
      <c r="O440" s="224"/>
      <c r="P440" s="154"/>
    </row>
    <row r="441" spans="1:16" ht="18.75">
      <c r="A441" s="7"/>
      <c r="B441" s="15"/>
      <c r="C441" s="15">
        <v>4210</v>
      </c>
      <c r="D441" s="296" t="s">
        <v>42</v>
      </c>
      <c r="E441" s="213">
        <v>5000</v>
      </c>
      <c r="F441" s="214">
        <v>832.57</v>
      </c>
      <c r="G441" s="104">
        <f t="shared" si="87"/>
        <v>0.16651400000000002</v>
      </c>
      <c r="H441" s="214">
        <f>E441</f>
        <v>5000</v>
      </c>
      <c r="I441" s="214">
        <f>F441</f>
        <v>832.57</v>
      </c>
      <c r="J441" s="187">
        <f t="shared" si="90"/>
        <v>0.16651400000000002</v>
      </c>
      <c r="K441" s="228"/>
      <c r="L441" s="222"/>
      <c r="M441" s="170"/>
      <c r="N441" s="228"/>
      <c r="O441" s="222"/>
      <c r="P441" s="30"/>
    </row>
    <row r="442" spans="1:16" ht="18.75">
      <c r="A442" s="7"/>
      <c r="B442" s="15"/>
      <c r="C442" s="15">
        <v>4300</v>
      </c>
      <c r="D442" s="296" t="s">
        <v>44</v>
      </c>
      <c r="E442" s="222">
        <v>89000</v>
      </c>
      <c r="F442" s="217">
        <v>19634.16</v>
      </c>
      <c r="G442" s="409">
        <f t="shared" si="87"/>
        <v>0.2206085393258427</v>
      </c>
      <c r="H442" s="217">
        <f>E442</f>
        <v>89000</v>
      </c>
      <c r="I442" s="217">
        <f>F442</f>
        <v>19634.16</v>
      </c>
      <c r="J442" s="139">
        <f t="shared" si="90"/>
        <v>0.2206085393258427</v>
      </c>
      <c r="K442" s="228"/>
      <c r="L442" s="222"/>
      <c r="M442" s="148"/>
      <c r="N442" s="228"/>
      <c r="O442" s="222"/>
      <c r="P442" s="30"/>
    </row>
    <row r="443" spans="1:16" ht="18.75">
      <c r="A443" s="7"/>
      <c r="B443" s="22">
        <v>90013</v>
      </c>
      <c r="C443" s="22"/>
      <c r="D443" s="22" t="s">
        <v>71</v>
      </c>
      <c r="E443" s="218">
        <f>SUM(E444:E458)</f>
        <v>239800</v>
      </c>
      <c r="F443" s="218">
        <f>SUM(F444:F458)</f>
        <v>114173.16000000002</v>
      </c>
      <c r="G443" s="126">
        <f aca="true" t="shared" si="91" ref="G443:G457">F443/E443</f>
        <v>0.4761182652210176</v>
      </c>
      <c r="H443" s="218">
        <f>SUM(H444:H458)</f>
        <v>59800</v>
      </c>
      <c r="I443" s="218">
        <f>SUM(I444:I458)</f>
        <v>43337.65000000001</v>
      </c>
      <c r="J443" s="86">
        <f t="shared" si="90"/>
        <v>0.724709866220736</v>
      </c>
      <c r="K443" s="229"/>
      <c r="L443" s="224"/>
      <c r="M443" s="153"/>
      <c r="N443" s="236">
        <f>SUM(N444:N458)</f>
        <v>180000</v>
      </c>
      <c r="O443" s="236">
        <f>SUM(O444:O458)</f>
        <v>70835.51000000001</v>
      </c>
      <c r="P443" s="23">
        <f>O443/N443</f>
        <v>0.39353061111111115</v>
      </c>
    </row>
    <row r="444" spans="1:16" ht="18.75">
      <c r="A444" s="7"/>
      <c r="B444" s="15"/>
      <c r="C444" s="15">
        <v>3020</v>
      </c>
      <c r="D444" s="296" t="s">
        <v>123</v>
      </c>
      <c r="E444" s="213">
        <v>2800</v>
      </c>
      <c r="F444" s="214">
        <v>0</v>
      </c>
      <c r="G444" s="104">
        <f t="shared" si="91"/>
        <v>0</v>
      </c>
      <c r="H444" s="213">
        <v>800</v>
      </c>
      <c r="I444" s="214">
        <v>0</v>
      </c>
      <c r="J444" s="187">
        <f t="shared" si="90"/>
        <v>0</v>
      </c>
      <c r="K444" s="228"/>
      <c r="L444" s="222"/>
      <c r="M444" s="170"/>
      <c r="N444" s="226">
        <v>2000</v>
      </c>
      <c r="O444" s="213">
        <v>0</v>
      </c>
      <c r="P444" s="10">
        <f>O444/N444</f>
        <v>0</v>
      </c>
    </row>
    <row r="445" spans="1:16" ht="18.75">
      <c r="A445" s="7"/>
      <c r="B445" s="15"/>
      <c r="C445" s="15">
        <v>4010</v>
      </c>
      <c r="D445" s="296" t="s">
        <v>47</v>
      </c>
      <c r="E445" s="213">
        <v>124960</v>
      </c>
      <c r="F445" s="214">
        <v>51722.55</v>
      </c>
      <c r="G445" s="104">
        <f t="shared" si="91"/>
        <v>0.4139128521126761</v>
      </c>
      <c r="H445" s="213">
        <v>29000</v>
      </c>
      <c r="I445" s="214">
        <v>19107.04</v>
      </c>
      <c r="J445" s="187" t="s">
        <v>166</v>
      </c>
      <c r="K445" s="228"/>
      <c r="L445" s="222"/>
      <c r="M445" s="170"/>
      <c r="N445" s="226">
        <v>95960</v>
      </c>
      <c r="O445" s="213">
        <v>32615.51</v>
      </c>
      <c r="P445" s="10">
        <f aca="true" t="shared" si="92" ref="P445:P458">O445/N445</f>
        <v>0.3398865152146728</v>
      </c>
    </row>
    <row r="446" spans="1:16" ht="18.75">
      <c r="A446" s="7"/>
      <c r="B446" s="15"/>
      <c r="C446" s="15">
        <v>4040</v>
      </c>
      <c r="D446" s="296" t="s">
        <v>48</v>
      </c>
      <c r="E446" s="213">
        <v>9272.38</v>
      </c>
      <c r="F446" s="214">
        <v>9272.38</v>
      </c>
      <c r="G446" s="104">
        <f t="shared" si="91"/>
        <v>1</v>
      </c>
      <c r="H446" s="213">
        <v>4300</v>
      </c>
      <c r="I446" s="214">
        <v>4300</v>
      </c>
      <c r="J446" s="187" t="s">
        <v>166</v>
      </c>
      <c r="K446" s="228"/>
      <c r="L446" s="222"/>
      <c r="M446" s="170"/>
      <c r="N446" s="226">
        <v>4972.38</v>
      </c>
      <c r="O446" s="213">
        <v>4972.38</v>
      </c>
      <c r="P446" s="10">
        <f t="shared" si="92"/>
        <v>1</v>
      </c>
    </row>
    <row r="447" spans="1:16" ht="18.75">
      <c r="A447" s="7"/>
      <c r="B447" s="15"/>
      <c r="C447" s="15">
        <v>4110</v>
      </c>
      <c r="D447" s="296" t="s">
        <v>49</v>
      </c>
      <c r="E447" s="213">
        <v>24000</v>
      </c>
      <c r="F447" s="214">
        <v>9082.31</v>
      </c>
      <c r="G447" s="104">
        <f t="shared" si="91"/>
        <v>0.3784295833333333</v>
      </c>
      <c r="H447" s="213">
        <v>8000</v>
      </c>
      <c r="I447" s="214">
        <v>4451.81</v>
      </c>
      <c r="J447" s="187" t="s">
        <v>166</v>
      </c>
      <c r="K447" s="228"/>
      <c r="L447" s="222"/>
      <c r="M447" s="170"/>
      <c r="N447" s="226">
        <v>16000</v>
      </c>
      <c r="O447" s="213">
        <v>4630.5</v>
      </c>
      <c r="P447" s="10">
        <f t="shared" si="92"/>
        <v>0.28940625</v>
      </c>
    </row>
    <row r="448" spans="1:16" ht="18.75">
      <c r="A448" s="7"/>
      <c r="B448" s="15"/>
      <c r="C448" s="15">
        <v>4120</v>
      </c>
      <c r="D448" s="296" t="s">
        <v>50</v>
      </c>
      <c r="E448" s="213">
        <v>3300</v>
      </c>
      <c r="F448" s="214">
        <v>1396.84</v>
      </c>
      <c r="G448" s="104">
        <f t="shared" si="91"/>
        <v>0.4232848484848485</v>
      </c>
      <c r="H448" s="213">
        <v>1000</v>
      </c>
      <c r="I448" s="214">
        <v>853.68</v>
      </c>
      <c r="J448" s="187" t="s">
        <v>166</v>
      </c>
      <c r="K448" s="228"/>
      <c r="L448" s="222"/>
      <c r="M448" s="170"/>
      <c r="N448" s="226">
        <v>2300</v>
      </c>
      <c r="O448" s="213">
        <v>543.16</v>
      </c>
      <c r="P448" s="10">
        <f t="shared" si="92"/>
        <v>0.23615652173913043</v>
      </c>
    </row>
    <row r="449" spans="1:16" ht="18.75">
      <c r="A449" s="7"/>
      <c r="B449" s="15"/>
      <c r="C449" s="15">
        <v>4210</v>
      </c>
      <c r="D449" s="296" t="s">
        <v>42</v>
      </c>
      <c r="E449" s="213">
        <v>36500</v>
      </c>
      <c r="F449" s="214">
        <v>28612.15</v>
      </c>
      <c r="G449" s="104">
        <f t="shared" si="91"/>
        <v>0.7838945205479453</v>
      </c>
      <c r="H449" s="213">
        <v>8500</v>
      </c>
      <c r="I449" s="214">
        <v>8455.18</v>
      </c>
      <c r="J449" s="187">
        <f t="shared" si="90"/>
        <v>0.9947270588235294</v>
      </c>
      <c r="K449" s="228"/>
      <c r="L449" s="222"/>
      <c r="M449" s="170"/>
      <c r="N449" s="226">
        <v>28000</v>
      </c>
      <c r="O449" s="213">
        <v>20156.97</v>
      </c>
      <c r="P449" s="10">
        <f t="shared" si="92"/>
        <v>0.7198917857142858</v>
      </c>
    </row>
    <row r="450" spans="1:16" ht="18.75">
      <c r="A450" s="7"/>
      <c r="B450" s="15"/>
      <c r="C450" s="15">
        <v>4260</v>
      </c>
      <c r="D450" s="296" t="s">
        <v>52</v>
      </c>
      <c r="E450" s="213">
        <v>7727.62</v>
      </c>
      <c r="F450" s="214">
        <v>3068.39</v>
      </c>
      <c r="G450" s="104">
        <f t="shared" si="91"/>
        <v>0.39706792000641855</v>
      </c>
      <c r="H450" s="213">
        <v>1000</v>
      </c>
      <c r="I450" s="214">
        <v>1000</v>
      </c>
      <c r="J450" s="187">
        <f t="shared" si="90"/>
        <v>1</v>
      </c>
      <c r="K450" s="228"/>
      <c r="L450" s="222"/>
      <c r="M450" s="170"/>
      <c r="N450" s="228">
        <v>6727.62</v>
      </c>
      <c r="O450" s="213">
        <v>2068.39</v>
      </c>
      <c r="P450" s="10">
        <f t="shared" si="92"/>
        <v>0.3074475074394808</v>
      </c>
    </row>
    <row r="451" spans="1:16" ht="18.75">
      <c r="A451" s="7"/>
      <c r="B451" s="15"/>
      <c r="C451" s="15">
        <v>4270</v>
      </c>
      <c r="D451" s="296" t="s">
        <v>43</v>
      </c>
      <c r="E451" s="213">
        <v>1000</v>
      </c>
      <c r="F451" s="214">
        <v>0</v>
      </c>
      <c r="G451" s="104">
        <f t="shared" si="91"/>
        <v>0</v>
      </c>
      <c r="H451" s="213">
        <v>200</v>
      </c>
      <c r="I451" s="214">
        <v>0</v>
      </c>
      <c r="J451" s="187">
        <f t="shared" si="90"/>
        <v>0</v>
      </c>
      <c r="K451" s="228"/>
      <c r="L451" s="222"/>
      <c r="M451" s="170"/>
      <c r="N451" s="228">
        <v>800</v>
      </c>
      <c r="O451" s="213">
        <v>0</v>
      </c>
      <c r="P451" s="10">
        <f t="shared" si="92"/>
        <v>0</v>
      </c>
    </row>
    <row r="452" spans="1:16" ht="18.75">
      <c r="A452" s="7"/>
      <c r="B452" s="15"/>
      <c r="C452" s="15">
        <v>4280</v>
      </c>
      <c r="D452" s="296" t="s">
        <v>102</v>
      </c>
      <c r="E452" s="213">
        <v>40</v>
      </c>
      <c r="F452" s="214">
        <v>0</v>
      </c>
      <c r="G452" s="104">
        <f t="shared" si="91"/>
        <v>0</v>
      </c>
      <c r="H452" s="213">
        <v>0</v>
      </c>
      <c r="I452" s="214">
        <v>0</v>
      </c>
      <c r="J452" s="187" t="s">
        <v>166</v>
      </c>
      <c r="K452" s="228"/>
      <c r="L452" s="222"/>
      <c r="M452" s="170"/>
      <c r="N452" s="228">
        <v>40</v>
      </c>
      <c r="O452" s="213">
        <v>0</v>
      </c>
      <c r="P452" s="10">
        <f t="shared" si="92"/>
        <v>0</v>
      </c>
    </row>
    <row r="453" spans="1:16" ht="18.75">
      <c r="A453" s="7"/>
      <c r="B453" s="15"/>
      <c r="C453" s="15">
        <v>4300</v>
      </c>
      <c r="D453" s="296" t="s">
        <v>44</v>
      </c>
      <c r="E453" s="213">
        <v>20200</v>
      </c>
      <c r="F453" s="214">
        <v>8648.6</v>
      </c>
      <c r="G453" s="104">
        <f t="shared" si="91"/>
        <v>0.42814851485148514</v>
      </c>
      <c r="H453" s="213">
        <v>2800</v>
      </c>
      <c r="I453" s="214">
        <v>2800</v>
      </c>
      <c r="J453" s="187">
        <f t="shared" si="90"/>
        <v>1</v>
      </c>
      <c r="K453" s="228"/>
      <c r="L453" s="222"/>
      <c r="M453" s="170"/>
      <c r="N453" s="228">
        <v>17400</v>
      </c>
      <c r="O453" s="222">
        <v>5848.6</v>
      </c>
      <c r="P453" s="10">
        <f t="shared" si="92"/>
        <v>0.3361264367816092</v>
      </c>
    </row>
    <row r="454" spans="1:16" ht="37.5">
      <c r="A454" s="7"/>
      <c r="B454" s="15"/>
      <c r="C454" s="199">
        <v>4370</v>
      </c>
      <c r="D454" s="294" t="s">
        <v>159</v>
      </c>
      <c r="E454" s="213">
        <v>1000</v>
      </c>
      <c r="F454" s="214">
        <v>723.97</v>
      </c>
      <c r="G454" s="104">
        <f t="shared" si="91"/>
        <v>0.72397</v>
      </c>
      <c r="H454" s="213">
        <v>1000</v>
      </c>
      <c r="I454" s="214">
        <v>723.97</v>
      </c>
      <c r="J454" s="187">
        <f t="shared" si="90"/>
        <v>0.72397</v>
      </c>
      <c r="K454" s="228"/>
      <c r="L454" s="222"/>
      <c r="M454" s="170"/>
      <c r="N454" s="228">
        <v>0</v>
      </c>
      <c r="O454" s="222">
        <v>0</v>
      </c>
      <c r="P454" s="10" t="s">
        <v>166</v>
      </c>
    </row>
    <row r="455" spans="1:16" ht="18.75">
      <c r="A455" s="7"/>
      <c r="B455" s="15"/>
      <c r="C455" s="199">
        <v>4410</v>
      </c>
      <c r="D455" s="294" t="s">
        <v>55</v>
      </c>
      <c r="E455" s="213">
        <v>500</v>
      </c>
      <c r="F455" s="214">
        <v>45.97</v>
      </c>
      <c r="G455" s="104">
        <f t="shared" si="91"/>
        <v>0.09194</v>
      </c>
      <c r="H455" s="213">
        <v>500</v>
      </c>
      <c r="I455" s="214">
        <v>45.97</v>
      </c>
      <c r="J455" s="187">
        <f t="shared" si="90"/>
        <v>0.09194</v>
      </c>
      <c r="K455" s="228"/>
      <c r="L455" s="222"/>
      <c r="M455" s="170"/>
      <c r="N455" s="228">
        <v>0</v>
      </c>
      <c r="O455" s="222">
        <v>0</v>
      </c>
      <c r="P455" s="10" t="s">
        <v>166</v>
      </c>
    </row>
    <row r="456" spans="1:16" ht="18.75">
      <c r="A456" s="7"/>
      <c r="B456" s="15"/>
      <c r="C456" s="199">
        <v>4430</v>
      </c>
      <c r="D456" s="294" t="s">
        <v>53</v>
      </c>
      <c r="E456" s="213">
        <v>1000</v>
      </c>
      <c r="F456" s="214">
        <v>0</v>
      </c>
      <c r="G456" s="104">
        <f t="shared" si="91"/>
        <v>0</v>
      </c>
      <c r="H456" s="213">
        <v>200</v>
      </c>
      <c r="I456" s="214">
        <v>0</v>
      </c>
      <c r="J456" s="187">
        <f t="shared" si="90"/>
        <v>0</v>
      </c>
      <c r="K456" s="228"/>
      <c r="L456" s="222"/>
      <c r="M456" s="170"/>
      <c r="N456" s="228">
        <v>800</v>
      </c>
      <c r="O456" s="222">
        <v>0</v>
      </c>
      <c r="P456" s="10">
        <f t="shared" si="92"/>
        <v>0</v>
      </c>
    </row>
    <row r="457" spans="1:16" ht="18.75">
      <c r="A457" s="7"/>
      <c r="B457" s="15"/>
      <c r="C457" s="199">
        <v>4440</v>
      </c>
      <c r="D457" s="294" t="s">
        <v>124</v>
      </c>
      <c r="E457" s="213">
        <v>6000</v>
      </c>
      <c r="F457" s="214">
        <v>1600</v>
      </c>
      <c r="G457" s="104">
        <f t="shared" si="91"/>
        <v>0.26666666666666666</v>
      </c>
      <c r="H457" s="213">
        <v>2000</v>
      </c>
      <c r="I457" s="214">
        <v>1600</v>
      </c>
      <c r="J457" s="187">
        <f t="shared" si="90"/>
        <v>0.8</v>
      </c>
      <c r="K457" s="228"/>
      <c r="L457" s="222"/>
      <c r="M457" s="170"/>
      <c r="N457" s="228">
        <v>4000</v>
      </c>
      <c r="O457" s="222">
        <v>0</v>
      </c>
      <c r="P457" s="10">
        <f t="shared" si="92"/>
        <v>0</v>
      </c>
    </row>
    <row r="458" spans="1:16" ht="37.5">
      <c r="A458" s="7"/>
      <c r="B458" s="15"/>
      <c r="C458" s="199">
        <v>4750</v>
      </c>
      <c r="D458" s="294" t="s">
        <v>158</v>
      </c>
      <c r="E458" s="213">
        <v>1500</v>
      </c>
      <c r="F458" s="214">
        <v>0</v>
      </c>
      <c r="G458" s="409">
        <f aca="true" t="shared" si="93" ref="G458:G465">F458/E458</f>
        <v>0</v>
      </c>
      <c r="H458" s="213">
        <v>500</v>
      </c>
      <c r="I458" s="214">
        <v>0</v>
      </c>
      <c r="J458" s="187">
        <f t="shared" si="90"/>
        <v>0</v>
      </c>
      <c r="K458" s="228"/>
      <c r="L458" s="222"/>
      <c r="M458" s="170"/>
      <c r="N458" s="228">
        <v>1000</v>
      </c>
      <c r="O458" s="222">
        <v>0</v>
      </c>
      <c r="P458" s="10">
        <f t="shared" si="92"/>
        <v>0</v>
      </c>
    </row>
    <row r="459" spans="1:16" ht="18.75">
      <c r="A459" s="7"/>
      <c r="B459" s="22">
        <v>90015</v>
      </c>
      <c r="C459" s="22"/>
      <c r="D459" s="22" t="s">
        <v>30</v>
      </c>
      <c r="E459" s="218">
        <f>SUM(E460:E463)</f>
        <v>310500</v>
      </c>
      <c r="F459" s="218">
        <f>SUM(F460:F463)</f>
        <v>139125.89</v>
      </c>
      <c r="G459" s="126">
        <f t="shared" si="93"/>
        <v>0.44807049919484704</v>
      </c>
      <c r="H459" s="218">
        <f>SUM(H460:H463)</f>
        <v>310500</v>
      </c>
      <c r="I459" s="218">
        <f>SUM(I460:I463)</f>
        <v>139125.89</v>
      </c>
      <c r="J459" s="101">
        <f t="shared" si="90"/>
        <v>0.44807049919484704</v>
      </c>
      <c r="K459" s="254"/>
      <c r="L459" s="218"/>
      <c r="M459" s="147"/>
      <c r="N459" s="229"/>
      <c r="O459" s="224"/>
      <c r="P459" s="26" t="s">
        <v>166</v>
      </c>
    </row>
    <row r="460" spans="1:16" ht="18.75">
      <c r="A460" s="7"/>
      <c r="B460" s="15"/>
      <c r="C460" s="15">
        <v>4260</v>
      </c>
      <c r="D460" s="296" t="s">
        <v>52</v>
      </c>
      <c r="E460" s="213">
        <v>203500</v>
      </c>
      <c r="F460" s="217">
        <v>109092.22</v>
      </c>
      <c r="G460" s="104">
        <f t="shared" si="93"/>
        <v>0.5360797051597052</v>
      </c>
      <c r="H460" s="213">
        <v>203500</v>
      </c>
      <c r="I460" s="217">
        <v>109092.22</v>
      </c>
      <c r="J460" s="165">
        <f t="shared" si="90"/>
        <v>0.5360797051597052</v>
      </c>
      <c r="K460" s="325"/>
      <c r="L460" s="222"/>
      <c r="M460" s="148"/>
      <c r="N460" s="228"/>
      <c r="O460" s="222"/>
      <c r="P460" s="30"/>
    </row>
    <row r="461" spans="1:16" ht="18.75">
      <c r="A461" s="7"/>
      <c r="B461" s="15"/>
      <c r="C461" s="15">
        <v>4270</v>
      </c>
      <c r="D461" s="296" t="s">
        <v>43</v>
      </c>
      <c r="E461" s="213">
        <v>27000</v>
      </c>
      <c r="F461" s="217">
        <v>8269.05</v>
      </c>
      <c r="G461" s="104">
        <f t="shared" si="93"/>
        <v>0.3062611111111111</v>
      </c>
      <c r="H461" s="213">
        <v>27000</v>
      </c>
      <c r="I461" s="217">
        <v>8269.05</v>
      </c>
      <c r="J461" s="165">
        <f t="shared" si="90"/>
        <v>0.3062611111111111</v>
      </c>
      <c r="K461" s="325"/>
      <c r="L461" s="222"/>
      <c r="M461" s="165"/>
      <c r="N461" s="228"/>
      <c r="O461" s="222"/>
      <c r="P461" s="30"/>
    </row>
    <row r="462" spans="1:16" ht="18.75">
      <c r="A462" s="7"/>
      <c r="B462" s="15"/>
      <c r="C462" s="15">
        <v>4300</v>
      </c>
      <c r="D462" s="296" t="s">
        <v>44</v>
      </c>
      <c r="E462" s="213">
        <v>30000</v>
      </c>
      <c r="F462" s="217">
        <v>21764.62</v>
      </c>
      <c r="G462" s="104">
        <f t="shared" si="93"/>
        <v>0.7254873333333333</v>
      </c>
      <c r="H462" s="213">
        <v>30000</v>
      </c>
      <c r="I462" s="217">
        <v>21764.62</v>
      </c>
      <c r="J462" s="165">
        <f t="shared" si="90"/>
        <v>0.7254873333333333</v>
      </c>
      <c r="K462" s="325"/>
      <c r="L462" s="222"/>
      <c r="M462" s="140"/>
      <c r="N462" s="228"/>
      <c r="O462" s="222"/>
      <c r="P462" s="30"/>
    </row>
    <row r="463" spans="1:16" ht="18.75">
      <c r="A463" s="7"/>
      <c r="B463" s="15"/>
      <c r="C463" s="15">
        <v>6050</v>
      </c>
      <c r="D463" s="296" t="s">
        <v>72</v>
      </c>
      <c r="E463" s="213">
        <v>50000</v>
      </c>
      <c r="F463" s="217">
        <v>0</v>
      </c>
      <c r="G463" s="409">
        <f t="shared" si="93"/>
        <v>0</v>
      </c>
      <c r="H463" s="213">
        <v>50000</v>
      </c>
      <c r="I463" s="217">
        <v>0</v>
      </c>
      <c r="J463" s="498">
        <f t="shared" si="90"/>
        <v>0</v>
      </c>
      <c r="K463" s="325"/>
      <c r="L463" s="222"/>
      <c r="M463" s="148"/>
      <c r="N463" s="228"/>
      <c r="O463" s="222"/>
      <c r="P463" s="30"/>
    </row>
    <row r="464" spans="1:16" ht="18.75">
      <c r="A464" s="7"/>
      <c r="B464" s="22">
        <v>90017</v>
      </c>
      <c r="C464" s="22"/>
      <c r="D464" s="22" t="s">
        <v>163</v>
      </c>
      <c r="E464" s="218">
        <f>E465</f>
        <v>20000</v>
      </c>
      <c r="F464" s="216">
        <f>F465</f>
        <v>20000</v>
      </c>
      <c r="G464" s="126">
        <f t="shared" si="93"/>
        <v>1</v>
      </c>
      <c r="H464" s="218">
        <f>SUM(H465:H465)</f>
        <v>20000</v>
      </c>
      <c r="I464" s="216">
        <f>SUM(I465:I465)</f>
        <v>20000</v>
      </c>
      <c r="J464" s="164">
        <f>I464/H464</f>
        <v>1</v>
      </c>
      <c r="K464" s="236"/>
      <c r="L464" s="218"/>
      <c r="M464" s="147"/>
      <c r="N464" s="236"/>
      <c r="O464" s="218"/>
      <c r="P464" s="23"/>
    </row>
    <row r="465" spans="1:16" ht="56.25">
      <c r="A465" s="7"/>
      <c r="B465" s="15"/>
      <c r="C465" s="199">
        <v>6210</v>
      </c>
      <c r="D465" s="294" t="s">
        <v>164</v>
      </c>
      <c r="E465" s="213">
        <v>20000</v>
      </c>
      <c r="F465" s="217">
        <v>20000</v>
      </c>
      <c r="G465" s="409">
        <f t="shared" si="93"/>
        <v>1</v>
      </c>
      <c r="H465" s="213">
        <f>E465</f>
        <v>20000</v>
      </c>
      <c r="I465" s="217">
        <f>F465</f>
        <v>20000</v>
      </c>
      <c r="J465" s="149">
        <f>I465/H465</f>
        <v>1</v>
      </c>
      <c r="K465" s="228"/>
      <c r="L465" s="222"/>
      <c r="M465" s="148"/>
      <c r="N465" s="228"/>
      <c r="O465" s="222"/>
      <c r="P465" s="30"/>
    </row>
    <row r="466" spans="1:16" ht="18.75">
      <c r="A466" s="7"/>
      <c r="B466" s="22">
        <v>90095</v>
      </c>
      <c r="C466" s="22"/>
      <c r="D466" s="22" t="s">
        <v>4</v>
      </c>
      <c r="E466" s="218">
        <f>SUM(E467:E478)</f>
        <v>598000</v>
      </c>
      <c r="F466" s="218">
        <f>SUM(F467:F478)</f>
        <v>251058.01000000004</v>
      </c>
      <c r="G466" s="126">
        <f aca="true" t="shared" si="94" ref="G466:G477">F466/E466</f>
        <v>0.4198294481605352</v>
      </c>
      <c r="H466" s="218">
        <f>SUM(H467:H478)</f>
        <v>598000</v>
      </c>
      <c r="I466" s="218">
        <f>SUM(I467:I478)</f>
        <v>251058.01000000004</v>
      </c>
      <c r="J466" s="86">
        <f>I466/H466</f>
        <v>0.4198294481605352</v>
      </c>
      <c r="K466" s="229"/>
      <c r="L466" s="224"/>
      <c r="M466" s="153"/>
      <c r="N466" s="229"/>
      <c r="O466" s="224"/>
      <c r="P466" s="154"/>
    </row>
    <row r="467" spans="1:16" ht="18.75">
      <c r="A467" s="7"/>
      <c r="B467" s="15"/>
      <c r="C467" s="15">
        <v>3020</v>
      </c>
      <c r="D467" s="296" t="s">
        <v>123</v>
      </c>
      <c r="E467" s="213">
        <v>8000</v>
      </c>
      <c r="F467" s="214">
        <v>0</v>
      </c>
      <c r="G467" s="104">
        <f t="shared" si="94"/>
        <v>0</v>
      </c>
      <c r="H467" s="213">
        <f>E467</f>
        <v>8000</v>
      </c>
      <c r="I467" s="214">
        <f>F467</f>
        <v>0</v>
      </c>
      <c r="J467" s="139">
        <f>I467/H467</f>
        <v>0</v>
      </c>
      <c r="K467" s="228"/>
      <c r="L467" s="222"/>
      <c r="M467" s="170"/>
      <c r="N467" s="228"/>
      <c r="O467" s="222"/>
      <c r="P467" s="30"/>
    </row>
    <row r="468" spans="1:16" ht="18.75">
      <c r="A468" s="7"/>
      <c r="B468" s="15"/>
      <c r="C468" s="15">
        <v>4010</v>
      </c>
      <c r="D468" s="296" t="s">
        <v>47</v>
      </c>
      <c r="E468" s="213">
        <v>209000</v>
      </c>
      <c r="F468" s="214">
        <v>163266.96</v>
      </c>
      <c r="G468" s="104">
        <f t="shared" si="94"/>
        <v>0.7811816267942583</v>
      </c>
      <c r="H468" s="213">
        <f aca="true" t="shared" si="95" ref="H468:H478">E468</f>
        <v>209000</v>
      </c>
      <c r="I468" s="214">
        <f aca="true" t="shared" si="96" ref="I468:I478">F468</f>
        <v>163266.96</v>
      </c>
      <c r="J468" s="139">
        <f aca="true" t="shared" si="97" ref="J468:J477">I468/H468</f>
        <v>0.7811816267942583</v>
      </c>
      <c r="K468" s="228"/>
      <c r="L468" s="222"/>
      <c r="M468" s="170"/>
      <c r="N468" s="228"/>
      <c r="O468" s="222"/>
      <c r="P468" s="30"/>
    </row>
    <row r="469" spans="1:16" ht="18.75">
      <c r="A469" s="7"/>
      <c r="B469" s="15"/>
      <c r="C469" s="15">
        <v>4110</v>
      </c>
      <c r="D469" s="296" t="s">
        <v>49</v>
      </c>
      <c r="E469" s="213">
        <v>31000</v>
      </c>
      <c r="F469" s="214">
        <v>17767.29</v>
      </c>
      <c r="G469" s="104">
        <f t="shared" si="94"/>
        <v>0.5731383870967742</v>
      </c>
      <c r="H469" s="213">
        <f t="shared" si="95"/>
        <v>31000</v>
      </c>
      <c r="I469" s="214">
        <f t="shared" si="96"/>
        <v>17767.29</v>
      </c>
      <c r="J469" s="139">
        <f t="shared" si="97"/>
        <v>0.5731383870967742</v>
      </c>
      <c r="K469" s="228"/>
      <c r="L469" s="222"/>
      <c r="M469" s="170"/>
      <c r="N469" s="228"/>
      <c r="O469" s="222"/>
      <c r="P469" s="30"/>
    </row>
    <row r="470" spans="1:16" ht="18.75">
      <c r="A470" s="7"/>
      <c r="B470" s="15"/>
      <c r="C470" s="15">
        <v>4120</v>
      </c>
      <c r="D470" s="296" t="s">
        <v>50</v>
      </c>
      <c r="E470" s="213">
        <v>5000</v>
      </c>
      <c r="F470" s="214">
        <v>2458.2</v>
      </c>
      <c r="G470" s="104">
        <f t="shared" si="94"/>
        <v>0.49163999999999997</v>
      </c>
      <c r="H470" s="213">
        <f t="shared" si="95"/>
        <v>5000</v>
      </c>
      <c r="I470" s="214">
        <f t="shared" si="96"/>
        <v>2458.2</v>
      </c>
      <c r="J470" s="139">
        <f t="shared" si="97"/>
        <v>0.49163999999999997</v>
      </c>
      <c r="K470" s="228"/>
      <c r="L470" s="222"/>
      <c r="M470" s="170"/>
      <c r="N470" s="228"/>
      <c r="O470" s="222"/>
      <c r="P470" s="30"/>
    </row>
    <row r="471" spans="1:16" ht="18.75">
      <c r="A471" s="7"/>
      <c r="B471" s="15"/>
      <c r="C471" s="15">
        <v>4140</v>
      </c>
      <c r="D471" s="296" t="s">
        <v>188</v>
      </c>
      <c r="E471" s="213">
        <v>10000</v>
      </c>
      <c r="F471" s="214">
        <v>5907.66</v>
      </c>
      <c r="G471" s="104">
        <f t="shared" si="94"/>
        <v>0.590766</v>
      </c>
      <c r="H471" s="213">
        <f t="shared" si="95"/>
        <v>10000</v>
      </c>
      <c r="I471" s="214">
        <f t="shared" si="96"/>
        <v>5907.66</v>
      </c>
      <c r="J471" s="139">
        <f t="shared" si="97"/>
        <v>0.590766</v>
      </c>
      <c r="K471" s="228"/>
      <c r="L471" s="222"/>
      <c r="M471" s="170"/>
      <c r="N471" s="228"/>
      <c r="O471" s="222"/>
      <c r="P471" s="30"/>
    </row>
    <row r="472" spans="1:16" ht="18.75">
      <c r="A472" s="7"/>
      <c r="B472" s="15"/>
      <c r="C472" s="15">
        <v>4170</v>
      </c>
      <c r="D472" s="296" t="s">
        <v>98</v>
      </c>
      <c r="E472" s="213">
        <v>1300</v>
      </c>
      <c r="F472" s="214">
        <v>1300</v>
      </c>
      <c r="G472" s="104">
        <f t="shared" si="94"/>
        <v>1</v>
      </c>
      <c r="H472" s="213">
        <f t="shared" si="95"/>
        <v>1300</v>
      </c>
      <c r="I472" s="214">
        <f t="shared" si="96"/>
        <v>1300</v>
      </c>
      <c r="J472" s="139">
        <f t="shared" si="97"/>
        <v>1</v>
      </c>
      <c r="K472" s="228"/>
      <c r="L472" s="222"/>
      <c r="M472" s="170"/>
      <c r="N472" s="228"/>
      <c r="O472" s="222"/>
      <c r="P472" s="30"/>
    </row>
    <row r="473" spans="1:16" ht="18.75">
      <c r="A473" s="7"/>
      <c r="B473" s="15"/>
      <c r="C473" s="15">
        <v>4210</v>
      </c>
      <c r="D473" s="296" t="s">
        <v>42</v>
      </c>
      <c r="E473" s="213">
        <v>40000</v>
      </c>
      <c r="F473" s="214">
        <v>20118.26</v>
      </c>
      <c r="G473" s="104">
        <f t="shared" si="94"/>
        <v>0.5029564999999999</v>
      </c>
      <c r="H473" s="213">
        <f t="shared" si="95"/>
        <v>40000</v>
      </c>
      <c r="I473" s="214">
        <f t="shared" si="96"/>
        <v>20118.26</v>
      </c>
      <c r="J473" s="139">
        <f t="shared" si="97"/>
        <v>0.5029564999999999</v>
      </c>
      <c r="K473" s="228"/>
      <c r="L473" s="222"/>
      <c r="M473" s="170"/>
      <c r="N473" s="228"/>
      <c r="O473" s="222"/>
      <c r="P473" s="30"/>
    </row>
    <row r="474" spans="1:16" ht="18.75">
      <c r="A474" s="7"/>
      <c r="B474" s="15"/>
      <c r="C474" s="15">
        <v>4270</v>
      </c>
      <c r="D474" s="296" t="s">
        <v>43</v>
      </c>
      <c r="E474" s="213">
        <v>16700</v>
      </c>
      <c r="F474" s="214">
        <v>3794.29</v>
      </c>
      <c r="G474" s="104">
        <f t="shared" si="94"/>
        <v>0.22720299401197605</v>
      </c>
      <c r="H474" s="213">
        <f t="shared" si="95"/>
        <v>16700</v>
      </c>
      <c r="I474" s="214">
        <f t="shared" si="96"/>
        <v>3794.29</v>
      </c>
      <c r="J474" s="139">
        <f t="shared" si="97"/>
        <v>0.22720299401197605</v>
      </c>
      <c r="K474" s="228"/>
      <c r="L474" s="222"/>
      <c r="M474" s="170"/>
      <c r="N474" s="228"/>
      <c r="O474" s="222"/>
      <c r="P474" s="30"/>
    </row>
    <row r="475" spans="1:16" ht="18.75">
      <c r="A475" s="7"/>
      <c r="B475" s="15"/>
      <c r="C475" s="15">
        <v>4280</v>
      </c>
      <c r="D475" s="296" t="s">
        <v>102</v>
      </c>
      <c r="E475" s="213">
        <v>2000</v>
      </c>
      <c r="F475" s="214">
        <v>1680</v>
      </c>
      <c r="G475" s="104">
        <f t="shared" si="94"/>
        <v>0.84</v>
      </c>
      <c r="H475" s="213">
        <f t="shared" si="95"/>
        <v>2000</v>
      </c>
      <c r="I475" s="214">
        <f t="shared" si="96"/>
        <v>1680</v>
      </c>
      <c r="J475" s="139">
        <f t="shared" si="97"/>
        <v>0.84</v>
      </c>
      <c r="K475" s="228"/>
      <c r="L475" s="222"/>
      <c r="M475" s="170"/>
      <c r="N475" s="228"/>
      <c r="O475" s="222"/>
      <c r="P475" s="30"/>
    </row>
    <row r="476" spans="1:16" ht="18.75">
      <c r="A476" s="7"/>
      <c r="B476" s="15"/>
      <c r="C476" s="15">
        <v>4300</v>
      </c>
      <c r="D476" s="296" t="s">
        <v>44</v>
      </c>
      <c r="E476" s="213">
        <v>75000</v>
      </c>
      <c r="F476" s="214">
        <v>34765.35</v>
      </c>
      <c r="G476" s="104">
        <f t="shared" si="94"/>
        <v>0.463538</v>
      </c>
      <c r="H476" s="213">
        <f t="shared" si="95"/>
        <v>75000</v>
      </c>
      <c r="I476" s="214">
        <f t="shared" si="96"/>
        <v>34765.35</v>
      </c>
      <c r="J476" s="139">
        <f t="shared" si="97"/>
        <v>0.463538</v>
      </c>
      <c r="K476" s="228"/>
      <c r="L476" s="222"/>
      <c r="M476" s="170"/>
      <c r="N476" s="228"/>
      <c r="O476" s="222"/>
      <c r="P476" s="30"/>
    </row>
    <row r="477" spans="1:16" ht="18.75">
      <c r="A477" s="7"/>
      <c r="B477" s="15"/>
      <c r="C477" s="15">
        <v>6057</v>
      </c>
      <c r="D477" s="296" t="s">
        <v>72</v>
      </c>
      <c r="E477" s="213">
        <v>100000</v>
      </c>
      <c r="F477" s="214">
        <v>0</v>
      </c>
      <c r="G477" s="104">
        <f t="shared" si="94"/>
        <v>0</v>
      </c>
      <c r="H477" s="213">
        <f t="shared" si="95"/>
        <v>100000</v>
      </c>
      <c r="I477" s="214">
        <f t="shared" si="96"/>
        <v>0</v>
      </c>
      <c r="J477" s="139">
        <f t="shared" si="97"/>
        <v>0</v>
      </c>
      <c r="K477" s="228"/>
      <c r="L477" s="222"/>
      <c r="M477" s="170"/>
      <c r="N477" s="228"/>
      <c r="O477" s="222"/>
      <c r="P477" s="30"/>
    </row>
    <row r="478" spans="1:16" ht="19.5" thickBot="1">
      <c r="A478" s="7"/>
      <c r="B478" s="15"/>
      <c r="C478" s="15">
        <v>6059</v>
      </c>
      <c r="D478" s="296" t="s">
        <v>72</v>
      </c>
      <c r="E478" s="222">
        <v>100000</v>
      </c>
      <c r="F478" s="217">
        <v>0</v>
      </c>
      <c r="G478" s="104">
        <f>F478/E478</f>
        <v>0</v>
      </c>
      <c r="H478" s="213">
        <f t="shared" si="95"/>
        <v>100000</v>
      </c>
      <c r="I478" s="214">
        <f t="shared" si="96"/>
        <v>0</v>
      </c>
      <c r="J478" s="139">
        <f aca="true" t="shared" si="98" ref="J478:J483">I478/H478</f>
        <v>0</v>
      </c>
      <c r="K478" s="228"/>
      <c r="L478" s="222"/>
      <c r="M478" s="148"/>
      <c r="N478" s="228"/>
      <c r="O478" s="222"/>
      <c r="P478" s="30"/>
    </row>
    <row r="479" spans="1:16" ht="19.5" thickBot="1">
      <c r="A479" s="12">
        <v>921</v>
      </c>
      <c r="B479" s="12"/>
      <c r="C479" s="12"/>
      <c r="D479" s="12" t="s">
        <v>79</v>
      </c>
      <c r="E479" s="215">
        <f>E480+E483+E486+E488</f>
        <v>744200</v>
      </c>
      <c r="F479" s="215">
        <f>F480+F483+F486+F488</f>
        <v>101924.9</v>
      </c>
      <c r="G479" s="92">
        <f>F479/E479</f>
        <v>0.13695901639344263</v>
      </c>
      <c r="H479" s="215">
        <f>H483+H486+H480+H488</f>
        <v>744200</v>
      </c>
      <c r="I479" s="215">
        <f>I483+I486+I480+I488</f>
        <v>101924.9</v>
      </c>
      <c r="J479" s="93">
        <f t="shared" si="98"/>
        <v>0.13695901639344263</v>
      </c>
      <c r="K479" s="227"/>
      <c r="L479" s="215"/>
      <c r="M479" s="150"/>
      <c r="N479" s="227"/>
      <c r="O479" s="215"/>
      <c r="P479" s="185"/>
    </row>
    <row r="480" spans="1:16" ht="18.75">
      <c r="A480" s="15"/>
      <c r="B480" s="15">
        <v>92109</v>
      </c>
      <c r="C480" s="15"/>
      <c r="D480" s="15" t="s">
        <v>258</v>
      </c>
      <c r="E480" s="212">
        <f>SUM(E481:E482)</f>
        <v>500000</v>
      </c>
      <c r="F480" s="212">
        <f>SUM(F481:F482)</f>
        <v>24766</v>
      </c>
      <c r="G480" s="126">
        <f>F480/E480</f>
        <v>0.049532</v>
      </c>
      <c r="H480" s="212">
        <f>H481+H482</f>
        <v>500000</v>
      </c>
      <c r="I480" s="212">
        <f>I481+I482</f>
        <v>24766</v>
      </c>
      <c r="J480" s="482">
        <f t="shared" si="98"/>
        <v>0.049532</v>
      </c>
      <c r="K480" s="234"/>
      <c r="L480" s="211"/>
      <c r="M480" s="130"/>
      <c r="N480" s="354"/>
      <c r="O480" s="211"/>
      <c r="P480" s="248"/>
    </row>
    <row r="481" spans="1:16" ht="18.75">
      <c r="A481" s="15"/>
      <c r="B481" s="15"/>
      <c r="C481" s="15">
        <v>6057</v>
      </c>
      <c r="D481" s="296" t="s">
        <v>72</v>
      </c>
      <c r="E481" s="448">
        <v>325000</v>
      </c>
      <c r="F481" s="448">
        <v>0</v>
      </c>
      <c r="G481" s="340">
        <f>F481/E481</f>
        <v>0</v>
      </c>
      <c r="H481" s="448">
        <v>325000</v>
      </c>
      <c r="I481" s="448">
        <v>0</v>
      </c>
      <c r="J481" s="488">
        <f t="shared" si="98"/>
        <v>0</v>
      </c>
      <c r="K481" s="253"/>
      <c r="L481" s="211"/>
      <c r="M481" s="130"/>
      <c r="N481" s="225"/>
      <c r="O481" s="211"/>
      <c r="P481" s="248"/>
    </row>
    <row r="482" spans="1:16" ht="18.75">
      <c r="A482" s="15"/>
      <c r="B482" s="15"/>
      <c r="C482" s="15">
        <v>6059</v>
      </c>
      <c r="D482" s="296" t="s">
        <v>72</v>
      </c>
      <c r="E482" s="448">
        <v>175000</v>
      </c>
      <c r="F482" s="448">
        <v>24766</v>
      </c>
      <c r="G482" s="340">
        <f>F482/E482</f>
        <v>0.14152</v>
      </c>
      <c r="H482" s="448">
        <v>175000</v>
      </c>
      <c r="I482" s="448">
        <v>24766</v>
      </c>
      <c r="J482" s="488">
        <f t="shared" si="98"/>
        <v>0.14152</v>
      </c>
      <c r="K482" s="253"/>
      <c r="L482" s="211"/>
      <c r="M482" s="130"/>
      <c r="N482" s="225"/>
      <c r="O482" s="211"/>
      <c r="P482" s="248"/>
    </row>
    <row r="483" spans="1:16" ht="18.75">
      <c r="A483" s="7"/>
      <c r="B483" s="15">
        <v>92116</v>
      </c>
      <c r="C483" s="15"/>
      <c r="D483" s="15" t="s">
        <v>73</v>
      </c>
      <c r="E483" s="212">
        <f>SUM(E484:E485)</f>
        <v>203200</v>
      </c>
      <c r="F483" s="212">
        <f>SUM(F484:F485)</f>
        <v>66500</v>
      </c>
      <c r="G483" s="126"/>
      <c r="H483" s="212">
        <f>H484+H485</f>
        <v>203200</v>
      </c>
      <c r="I483" s="212">
        <f>I484+I485</f>
        <v>66500</v>
      </c>
      <c r="J483" s="151">
        <f t="shared" si="98"/>
        <v>0.32726377952755903</v>
      </c>
      <c r="K483" s="225"/>
      <c r="L483" s="211"/>
      <c r="M483" s="162"/>
      <c r="N483" s="225"/>
      <c r="O483" s="211"/>
      <c r="P483" s="248"/>
    </row>
    <row r="484" spans="1:16" ht="37.5">
      <c r="A484" s="7"/>
      <c r="B484" s="15"/>
      <c r="C484" s="198">
        <v>2480</v>
      </c>
      <c r="D484" s="294" t="s">
        <v>131</v>
      </c>
      <c r="E484" s="222">
        <v>153200</v>
      </c>
      <c r="F484" s="217">
        <v>66500</v>
      </c>
      <c r="G484" s="126">
        <f aca="true" t="shared" si="99" ref="G484:G493">F484/E484</f>
        <v>0.43407310704960833</v>
      </c>
      <c r="H484" s="222">
        <f>E484</f>
        <v>153200</v>
      </c>
      <c r="I484" s="217">
        <f>F484</f>
        <v>66500</v>
      </c>
      <c r="J484" s="139">
        <f aca="true" t="shared" si="100" ref="J484:J505">I484/H484</f>
        <v>0.43407310704960833</v>
      </c>
      <c r="K484" s="228"/>
      <c r="L484" s="222"/>
      <c r="M484" s="148"/>
      <c r="N484" s="228"/>
      <c r="O484" s="222"/>
      <c r="P484" s="341"/>
    </row>
    <row r="485" spans="1:16" ht="75">
      <c r="A485" s="7"/>
      <c r="B485" s="15"/>
      <c r="C485" s="198">
        <v>6220</v>
      </c>
      <c r="D485" s="294" t="s">
        <v>227</v>
      </c>
      <c r="E485" s="222">
        <v>50000</v>
      </c>
      <c r="F485" s="217">
        <v>0</v>
      </c>
      <c r="G485" s="104">
        <f t="shared" si="99"/>
        <v>0</v>
      </c>
      <c r="H485" s="222">
        <f>E485</f>
        <v>50000</v>
      </c>
      <c r="I485" s="217">
        <f>F485</f>
        <v>0</v>
      </c>
      <c r="J485" s="139">
        <f t="shared" si="100"/>
        <v>0</v>
      </c>
      <c r="K485" s="228"/>
      <c r="L485" s="222"/>
      <c r="M485" s="148"/>
      <c r="N485" s="228"/>
      <c r="O485" s="222"/>
      <c r="P485" s="341"/>
    </row>
    <row r="486" spans="1:16" ht="18.75">
      <c r="A486" s="7"/>
      <c r="B486" s="342">
        <v>92120</v>
      </c>
      <c r="C486" s="343"/>
      <c r="D486" s="186" t="s">
        <v>223</v>
      </c>
      <c r="E486" s="218">
        <f>E487</f>
        <v>40000</v>
      </c>
      <c r="F486" s="216">
        <f>F487</f>
        <v>10000</v>
      </c>
      <c r="G486" s="103">
        <f t="shared" si="99"/>
        <v>0.25</v>
      </c>
      <c r="H486" s="218">
        <f>H487</f>
        <v>40000</v>
      </c>
      <c r="I486" s="216">
        <f>I487</f>
        <v>10000</v>
      </c>
      <c r="J486" s="164">
        <f>I486/H486</f>
        <v>0.25</v>
      </c>
      <c r="K486" s="344"/>
      <c r="L486" s="345"/>
      <c r="M486" s="346"/>
      <c r="N486" s="344"/>
      <c r="O486" s="345"/>
      <c r="P486" s="347"/>
    </row>
    <row r="487" spans="1:16" ht="75">
      <c r="A487" s="7"/>
      <c r="B487" s="383"/>
      <c r="C487" s="391">
        <v>6570</v>
      </c>
      <c r="D487" s="411" t="s">
        <v>259</v>
      </c>
      <c r="E487" s="477">
        <v>40000</v>
      </c>
      <c r="F487" s="476">
        <v>10000</v>
      </c>
      <c r="G487" s="485">
        <f t="shared" si="99"/>
        <v>0.25</v>
      </c>
      <c r="H487" s="477">
        <f>E487</f>
        <v>40000</v>
      </c>
      <c r="I487" s="476">
        <f>F487</f>
        <v>10000</v>
      </c>
      <c r="J487" s="486">
        <f>I487/H487</f>
        <v>0.25</v>
      </c>
      <c r="K487" s="478"/>
      <c r="L487" s="477"/>
      <c r="M487" s="479"/>
      <c r="N487" s="478"/>
      <c r="O487" s="477"/>
      <c r="P487" s="487"/>
    </row>
    <row r="488" spans="1:16" ht="18.75">
      <c r="A488" s="7"/>
      <c r="B488" s="15">
        <v>92195</v>
      </c>
      <c r="C488" s="198"/>
      <c r="D488" s="44" t="s">
        <v>4</v>
      </c>
      <c r="E488" s="211">
        <f>SUM(E489:E490)</f>
        <v>1000</v>
      </c>
      <c r="F488" s="211">
        <f>SUM(F489:F490)</f>
        <v>658.9</v>
      </c>
      <c r="G488" s="126">
        <f t="shared" si="99"/>
        <v>0.6588999999999999</v>
      </c>
      <c r="H488" s="211">
        <f>H489+H490</f>
        <v>1000</v>
      </c>
      <c r="I488" s="211">
        <f>I489+I490</f>
        <v>658.9</v>
      </c>
      <c r="J488" s="166">
        <f>I488/H488</f>
        <v>0.6588999999999999</v>
      </c>
      <c r="K488" s="325"/>
      <c r="L488" s="222"/>
      <c r="M488" s="170"/>
      <c r="N488" s="228"/>
      <c r="O488" s="222"/>
      <c r="P488" s="341"/>
    </row>
    <row r="489" spans="1:16" ht="18.75">
      <c r="A489" s="7"/>
      <c r="B489" s="15"/>
      <c r="C489" s="198">
        <v>4210</v>
      </c>
      <c r="D489" s="296" t="s">
        <v>42</v>
      </c>
      <c r="E489" s="222">
        <v>500</v>
      </c>
      <c r="F489" s="217">
        <v>158.9</v>
      </c>
      <c r="G489" s="340">
        <f t="shared" si="99"/>
        <v>0.3178</v>
      </c>
      <c r="H489" s="222">
        <v>500</v>
      </c>
      <c r="I489" s="217">
        <v>158.9</v>
      </c>
      <c r="J489" s="496">
        <f>I489/H489</f>
        <v>0.3178</v>
      </c>
      <c r="K489" s="325"/>
      <c r="L489" s="222"/>
      <c r="M489" s="170"/>
      <c r="N489" s="228"/>
      <c r="O489" s="222"/>
      <c r="P489" s="341"/>
    </row>
    <row r="490" spans="1:16" ht="19.5" thickBot="1">
      <c r="A490" s="7"/>
      <c r="B490" s="15"/>
      <c r="C490" s="198">
        <v>4300</v>
      </c>
      <c r="D490" s="296" t="s">
        <v>44</v>
      </c>
      <c r="E490" s="222">
        <v>500</v>
      </c>
      <c r="F490" s="217">
        <v>500</v>
      </c>
      <c r="G490" s="340">
        <f t="shared" si="99"/>
        <v>1</v>
      </c>
      <c r="H490" s="222">
        <v>500</v>
      </c>
      <c r="I490" s="217">
        <v>500</v>
      </c>
      <c r="J490" s="497">
        <f>I490/H490</f>
        <v>1</v>
      </c>
      <c r="K490" s="325"/>
      <c r="L490" s="222"/>
      <c r="M490" s="170"/>
      <c r="N490" s="228"/>
      <c r="O490" s="222"/>
      <c r="P490" s="341"/>
    </row>
    <row r="491" spans="1:16" ht="19.5" thickBot="1">
      <c r="A491" s="11">
        <v>926</v>
      </c>
      <c r="B491" s="12"/>
      <c r="C491" s="12"/>
      <c r="D491" s="12" t="s">
        <v>74</v>
      </c>
      <c r="E491" s="215">
        <f>E492+E494</f>
        <v>524100</v>
      </c>
      <c r="F491" s="215">
        <f>F492+F494</f>
        <v>329998.12</v>
      </c>
      <c r="G491" s="92">
        <f t="shared" si="99"/>
        <v>0.6296472428925778</v>
      </c>
      <c r="H491" s="215">
        <f>H492+H494</f>
        <v>524100</v>
      </c>
      <c r="I491" s="215">
        <f>I492+I494</f>
        <v>329998.12</v>
      </c>
      <c r="J491" s="93">
        <f t="shared" si="100"/>
        <v>0.6296472428925778</v>
      </c>
      <c r="K491" s="230"/>
      <c r="L491" s="231"/>
      <c r="M491" s="160"/>
      <c r="N491" s="230"/>
      <c r="O491" s="231"/>
      <c r="P491" s="161"/>
    </row>
    <row r="492" spans="1:16" ht="18.75">
      <c r="A492" s="7"/>
      <c r="B492" s="15">
        <v>92601</v>
      </c>
      <c r="C492" s="15"/>
      <c r="D492" s="15" t="s">
        <v>224</v>
      </c>
      <c r="E492" s="212">
        <f>E493</f>
        <v>200000</v>
      </c>
      <c r="F492" s="212">
        <f>F493</f>
        <v>137615.03</v>
      </c>
      <c r="G492" s="126">
        <f t="shared" si="99"/>
        <v>0.68807515</v>
      </c>
      <c r="H492" s="212">
        <f>H493</f>
        <v>200000</v>
      </c>
      <c r="I492" s="212">
        <f>I493</f>
        <v>137615.03</v>
      </c>
      <c r="J492" s="187">
        <f t="shared" si="100"/>
        <v>0.68807515</v>
      </c>
      <c r="K492" s="228"/>
      <c r="L492" s="222"/>
      <c r="M492" s="170"/>
      <c r="N492" s="228"/>
      <c r="O492" s="222"/>
      <c r="P492" s="30"/>
    </row>
    <row r="493" spans="1:16" ht="18.75">
      <c r="A493" s="5"/>
      <c r="B493" s="25"/>
      <c r="C493" s="15">
        <v>6050</v>
      </c>
      <c r="D493" s="296" t="s">
        <v>72</v>
      </c>
      <c r="E493" s="214">
        <v>200000</v>
      </c>
      <c r="F493" s="214">
        <v>137615.03</v>
      </c>
      <c r="G493" s="409">
        <f t="shared" si="99"/>
        <v>0.68807515</v>
      </c>
      <c r="H493" s="214">
        <f>E493</f>
        <v>200000</v>
      </c>
      <c r="I493" s="214">
        <f>F493</f>
        <v>137615.03</v>
      </c>
      <c r="J493" s="410">
        <f t="shared" si="100"/>
        <v>0.68807515</v>
      </c>
      <c r="K493" s="228"/>
      <c r="L493" s="222"/>
      <c r="M493" s="170"/>
      <c r="N493" s="228"/>
      <c r="O493" s="222"/>
      <c r="P493" s="30"/>
    </row>
    <row r="494" spans="1:16" ht="18.75">
      <c r="A494" s="7"/>
      <c r="B494" s="22">
        <v>92695</v>
      </c>
      <c r="C494" s="22"/>
      <c r="D494" s="22" t="s">
        <v>4</v>
      </c>
      <c r="E494" s="216">
        <f>SUM(E495:E504)</f>
        <v>324100</v>
      </c>
      <c r="F494" s="216">
        <f>SUM(F495:F504)</f>
        <v>192383.09000000003</v>
      </c>
      <c r="G494" s="126">
        <f aca="true" t="shared" si="101" ref="G494:G503">F494/E494</f>
        <v>0.5935917618019131</v>
      </c>
      <c r="H494" s="216">
        <f>SUM(H495:H504)</f>
        <v>324100</v>
      </c>
      <c r="I494" s="216">
        <f>SUM(I495:I504)</f>
        <v>192383.09000000003</v>
      </c>
      <c r="J494" s="86">
        <f t="shared" si="100"/>
        <v>0.5935917618019131</v>
      </c>
      <c r="K494" s="229"/>
      <c r="L494" s="224"/>
      <c r="M494" s="153"/>
      <c r="N494" s="229"/>
      <c r="O494" s="224"/>
      <c r="P494" s="154"/>
    </row>
    <row r="495" spans="1:16" ht="56.25">
      <c r="A495" s="7"/>
      <c r="B495" s="15"/>
      <c r="C495" s="199">
        <v>2820</v>
      </c>
      <c r="D495" s="294" t="s">
        <v>130</v>
      </c>
      <c r="E495" s="214">
        <v>170000</v>
      </c>
      <c r="F495" s="214">
        <v>94550</v>
      </c>
      <c r="G495" s="104">
        <f t="shared" si="101"/>
        <v>0.5561764705882353</v>
      </c>
      <c r="H495" s="214">
        <v>170000</v>
      </c>
      <c r="I495" s="214">
        <v>94550</v>
      </c>
      <c r="J495" s="94">
        <f t="shared" si="100"/>
        <v>0.5561764705882353</v>
      </c>
      <c r="K495" s="228"/>
      <c r="L495" s="222"/>
      <c r="M495" s="170"/>
      <c r="N495" s="228"/>
      <c r="O495" s="222"/>
      <c r="P495" s="30"/>
    </row>
    <row r="496" spans="1:16" ht="37.5">
      <c r="A496" s="7"/>
      <c r="B496" s="15"/>
      <c r="C496" s="199">
        <v>3040</v>
      </c>
      <c r="D496" s="295" t="s">
        <v>189</v>
      </c>
      <c r="E496" s="222">
        <v>25300</v>
      </c>
      <c r="F496" s="217">
        <v>25300</v>
      </c>
      <c r="G496" s="104">
        <f t="shared" si="101"/>
        <v>1</v>
      </c>
      <c r="H496" s="222">
        <v>25300</v>
      </c>
      <c r="I496" s="217">
        <v>25300</v>
      </c>
      <c r="J496" s="139">
        <f t="shared" si="100"/>
        <v>1</v>
      </c>
      <c r="K496" s="228"/>
      <c r="L496" s="222"/>
      <c r="M496" s="148"/>
      <c r="N496" s="228"/>
      <c r="O496" s="222"/>
      <c r="P496" s="30"/>
    </row>
    <row r="497" spans="1:16" ht="18.75">
      <c r="A497" s="7"/>
      <c r="B497" s="15"/>
      <c r="C497" s="15">
        <v>4170</v>
      </c>
      <c r="D497" s="296" t="s">
        <v>98</v>
      </c>
      <c r="E497" s="213">
        <v>5000</v>
      </c>
      <c r="F497" s="217">
        <v>2808.5</v>
      </c>
      <c r="G497" s="104">
        <f t="shared" si="101"/>
        <v>0.5617</v>
      </c>
      <c r="H497" s="213">
        <v>5000</v>
      </c>
      <c r="I497" s="217">
        <v>2808.5</v>
      </c>
      <c r="J497" s="139">
        <f t="shared" si="100"/>
        <v>0.5617</v>
      </c>
      <c r="K497" s="228"/>
      <c r="L497" s="222"/>
      <c r="M497" s="140"/>
      <c r="N497" s="228"/>
      <c r="O497" s="222"/>
      <c r="P497" s="30"/>
    </row>
    <row r="498" spans="1:16" ht="18.75">
      <c r="A498" s="7"/>
      <c r="B498" s="15"/>
      <c r="C498" s="6">
        <v>4210</v>
      </c>
      <c r="D498" s="296" t="s">
        <v>42</v>
      </c>
      <c r="E498" s="222">
        <v>10000</v>
      </c>
      <c r="F498" s="217">
        <v>8617.67</v>
      </c>
      <c r="G498" s="104">
        <f t="shared" si="101"/>
        <v>0.8617670000000001</v>
      </c>
      <c r="H498" s="222">
        <v>10000</v>
      </c>
      <c r="I498" s="217">
        <v>8617.67</v>
      </c>
      <c r="J498" s="139">
        <f t="shared" si="100"/>
        <v>0.8617670000000001</v>
      </c>
      <c r="K498" s="228"/>
      <c r="L498" s="222"/>
      <c r="M498" s="148"/>
      <c r="N498" s="228"/>
      <c r="O498" s="222"/>
      <c r="P498" s="30"/>
    </row>
    <row r="499" spans="1:16" s="361" customFormat="1" ht="28.5" customHeight="1">
      <c r="A499" s="7"/>
      <c r="B499" s="15"/>
      <c r="C499" s="6">
        <v>4260</v>
      </c>
      <c r="D499" s="296" t="s">
        <v>52</v>
      </c>
      <c r="E499" s="222">
        <v>16000</v>
      </c>
      <c r="F499" s="217">
        <v>11550.51</v>
      </c>
      <c r="G499" s="104">
        <f t="shared" si="101"/>
        <v>0.7219068750000001</v>
      </c>
      <c r="H499" s="222">
        <v>16000</v>
      </c>
      <c r="I499" s="217">
        <v>11550.51</v>
      </c>
      <c r="J499" s="139">
        <f t="shared" si="100"/>
        <v>0.7219068750000001</v>
      </c>
      <c r="K499" s="228"/>
      <c r="L499" s="222"/>
      <c r="M499" s="148"/>
      <c r="N499" s="228"/>
      <c r="O499" s="222"/>
      <c r="P499" s="30"/>
    </row>
    <row r="500" spans="1:16" ht="18.75">
      <c r="A500" s="7"/>
      <c r="B500" s="15"/>
      <c r="C500" s="6">
        <v>4270</v>
      </c>
      <c r="D500" s="296" t="s">
        <v>43</v>
      </c>
      <c r="E500" s="222">
        <v>10000</v>
      </c>
      <c r="F500" s="217">
        <v>0</v>
      </c>
      <c r="G500" s="104">
        <f t="shared" si="101"/>
        <v>0</v>
      </c>
      <c r="H500" s="222">
        <v>10000</v>
      </c>
      <c r="I500" s="217">
        <v>0</v>
      </c>
      <c r="J500" s="139">
        <f t="shared" si="100"/>
        <v>0</v>
      </c>
      <c r="K500" s="228"/>
      <c r="L500" s="222"/>
      <c r="M500" s="148"/>
      <c r="N500" s="228"/>
      <c r="O500" s="222"/>
      <c r="P500" s="30"/>
    </row>
    <row r="501" spans="1:16" ht="18.75">
      <c r="A501" s="7"/>
      <c r="B501" s="15"/>
      <c r="C501" s="15">
        <v>4300</v>
      </c>
      <c r="D501" s="296" t="s">
        <v>44</v>
      </c>
      <c r="E501" s="222">
        <v>80000</v>
      </c>
      <c r="F501" s="217">
        <v>46164.38</v>
      </c>
      <c r="G501" s="104">
        <f t="shared" si="101"/>
        <v>0.57705475</v>
      </c>
      <c r="H501" s="222">
        <v>80000</v>
      </c>
      <c r="I501" s="217">
        <v>46164.38</v>
      </c>
      <c r="J501" s="139">
        <f t="shared" si="100"/>
        <v>0.57705475</v>
      </c>
      <c r="K501" s="228"/>
      <c r="L501" s="222"/>
      <c r="M501" s="148"/>
      <c r="N501" s="228"/>
      <c r="O501" s="222"/>
      <c r="P501" s="30"/>
    </row>
    <row r="502" spans="1:16" ht="37.5">
      <c r="A502" s="50"/>
      <c r="B502" s="15"/>
      <c r="C502" s="199">
        <v>4360</v>
      </c>
      <c r="D502" s="295" t="s">
        <v>160</v>
      </c>
      <c r="E502" s="222">
        <v>1000</v>
      </c>
      <c r="F502" s="217">
        <v>584.13</v>
      </c>
      <c r="G502" s="104">
        <f t="shared" si="101"/>
        <v>0.58413</v>
      </c>
      <c r="H502" s="222">
        <v>1000</v>
      </c>
      <c r="I502" s="217">
        <v>584.13</v>
      </c>
      <c r="J502" s="139">
        <f t="shared" si="100"/>
        <v>0.58413</v>
      </c>
      <c r="K502" s="228"/>
      <c r="L502" s="222"/>
      <c r="M502" s="148"/>
      <c r="N502" s="228"/>
      <c r="O502" s="222"/>
      <c r="P502" s="30"/>
    </row>
    <row r="503" spans="1:16" ht="18.75">
      <c r="A503" s="50"/>
      <c r="B503" s="15"/>
      <c r="C503" s="6">
        <v>4410</v>
      </c>
      <c r="D503" s="296" t="s">
        <v>55</v>
      </c>
      <c r="E503" s="222">
        <v>1000</v>
      </c>
      <c r="F503" s="217">
        <v>406.9</v>
      </c>
      <c r="G503" s="104">
        <f t="shared" si="101"/>
        <v>0.4069</v>
      </c>
      <c r="H503" s="222">
        <v>1000</v>
      </c>
      <c r="I503" s="217">
        <v>406.9</v>
      </c>
      <c r="J503" s="139">
        <f t="shared" si="100"/>
        <v>0.4069</v>
      </c>
      <c r="K503" s="228"/>
      <c r="L503" s="222"/>
      <c r="M503" s="148"/>
      <c r="N503" s="228"/>
      <c r="O503" s="222"/>
      <c r="P503" s="30"/>
    </row>
    <row r="504" spans="1:16" ht="19.5" thickBot="1">
      <c r="A504" s="50"/>
      <c r="B504" s="15"/>
      <c r="C504" s="6">
        <v>4430</v>
      </c>
      <c r="D504" s="296" t="s">
        <v>53</v>
      </c>
      <c r="E504" s="222">
        <v>5800</v>
      </c>
      <c r="F504" s="217">
        <v>2401</v>
      </c>
      <c r="G504" s="104">
        <f>F504/E504</f>
        <v>0.4139655172413793</v>
      </c>
      <c r="H504" s="222">
        <v>5800</v>
      </c>
      <c r="I504" s="217">
        <v>2401</v>
      </c>
      <c r="J504" s="139">
        <f t="shared" si="100"/>
        <v>0.4139655172413793</v>
      </c>
      <c r="K504" s="228"/>
      <c r="L504" s="222"/>
      <c r="M504" s="148"/>
      <c r="N504" s="228"/>
      <c r="O504" s="222"/>
      <c r="P504" s="30"/>
    </row>
    <row r="505" spans="1:16" ht="19.5" thickBot="1">
      <c r="A505" s="526" t="s">
        <v>75</v>
      </c>
      <c r="B505" s="527"/>
      <c r="C505" s="527"/>
      <c r="D505" s="528"/>
      <c r="E505" s="356">
        <f>E4+E15+E30+E38+E60+E70+E140+E156+E183+E188+E192+E195+E325+E339+E388+E413+E428+E479+E491</f>
        <v>23928552.3</v>
      </c>
      <c r="F505" s="356">
        <f>F4+F15+F30+F38+F60+F70+F140+F156+F183+F188+F192+F195+F325+F339+F388+F413+F428+F479+F491</f>
        <v>8883849.700000001</v>
      </c>
      <c r="G505" s="357">
        <f>F505/E505</f>
        <v>0.37126565738788975</v>
      </c>
      <c r="H505" s="356">
        <f>H4+H15+H30+H38+H60+H70+H140+H156+H183+H188+H192+H195+H325+H339+H388+H413+H428+H479+H491</f>
        <v>21449801.2</v>
      </c>
      <c r="I505" s="356">
        <f>I4+I15+I30+I38+I60+I70+I140+I156+I183+I188+I192+I195+I325+I339+I388+I413+I428+I479+I491</f>
        <v>7756607.400000001</v>
      </c>
      <c r="J505" s="358">
        <f t="shared" si="100"/>
        <v>0.36161675008904054</v>
      </c>
      <c r="K505" s="356">
        <f>K4+K15+K30+K38+K60+K70+K140+K156+K183+K188+K195+K325+K339+K413+K428+K479+K491</f>
        <v>1986526.1</v>
      </c>
      <c r="L505" s="356">
        <f>L4+L15+L30+L38+L60+L70+L140+L156+L183+L188+L195+L325+L339+L413+L428+L479+L491</f>
        <v>1038549.2899999999</v>
      </c>
      <c r="M505" s="359">
        <f>L505/K505</f>
        <v>0.5227967002296118</v>
      </c>
      <c r="N505" s="356">
        <f>N4+N15+N30+N38+N60+N70+N140+N156+N183+N188+N195+N325+N339+N413+N428+N479+N491</f>
        <v>492225</v>
      </c>
      <c r="O505" s="356">
        <f>O4+O15+O30+O38+O60+O70+O140+O156+O183+O188+O195+O325+O339+O413+O428+O479+O491</f>
        <v>88693.01000000001</v>
      </c>
      <c r="P505" s="360">
        <f>O505/N505</f>
        <v>0.1801879425059678</v>
      </c>
    </row>
    <row r="506" spans="5:15" ht="18.75">
      <c r="E506" s="223"/>
      <c r="F506" s="223"/>
      <c r="H506" s="223"/>
      <c r="I506" s="223"/>
      <c r="N506" s="223"/>
      <c r="O506" s="223"/>
    </row>
    <row r="507" spans="5:9" ht="18.75">
      <c r="E507" s="223"/>
      <c r="F507" s="223"/>
      <c r="H507" s="529"/>
      <c r="I507" s="529"/>
    </row>
    <row r="508" spans="4:9" ht="18.75">
      <c r="D508" s="34"/>
      <c r="E508" s="223"/>
      <c r="F508" s="223"/>
      <c r="H508" s="223"/>
      <c r="I508" s="223"/>
    </row>
    <row r="513" spans="1:9" ht="18.75">
      <c r="A513" s="20"/>
      <c r="E513" s="18"/>
      <c r="F513" s="18"/>
      <c r="H513" s="18"/>
      <c r="I513" s="18"/>
    </row>
    <row r="514" spans="1:9" ht="18.75">
      <c r="A514" s="20"/>
      <c r="E514" s="18"/>
      <c r="F514" s="18"/>
      <c r="G514" s="18"/>
      <c r="H514" s="18"/>
      <c r="I514" s="18"/>
    </row>
    <row r="515" spans="1:9" ht="18.75">
      <c r="A515" s="20"/>
      <c r="E515" s="18"/>
      <c r="F515" s="18"/>
      <c r="H515" s="18"/>
      <c r="I515" s="18"/>
    </row>
    <row r="516" spans="1:9" ht="18.75">
      <c r="A516" s="20"/>
      <c r="E516" s="18"/>
      <c r="F516" s="18"/>
      <c r="H516" s="18"/>
      <c r="I516" s="18"/>
    </row>
    <row r="517" spans="1:9" ht="18.75">
      <c r="A517" s="20"/>
      <c r="E517" s="18"/>
      <c r="F517" s="18"/>
      <c r="H517" s="18"/>
      <c r="I517" s="18"/>
    </row>
    <row r="518" spans="1:9" ht="18.75">
      <c r="A518" s="20"/>
      <c r="E518" s="18"/>
      <c r="F518" s="18"/>
      <c r="H518" s="18"/>
      <c r="I518" s="18"/>
    </row>
    <row r="519" spans="1:9" ht="18.75">
      <c r="A519" s="20"/>
      <c r="E519" s="18"/>
      <c r="F519" s="18"/>
      <c r="H519" s="18"/>
      <c r="I519" s="18"/>
    </row>
    <row r="520" spans="1:9" ht="18.75">
      <c r="A520" s="20"/>
      <c r="E520" s="18"/>
      <c r="F520" s="18"/>
      <c r="H520" s="18"/>
      <c r="I520" s="18"/>
    </row>
    <row r="521" spans="1:9" ht="18.75">
      <c r="A521" s="20"/>
      <c r="E521" s="18"/>
      <c r="F521" s="18"/>
      <c r="H521" s="18"/>
      <c r="I521" s="18"/>
    </row>
    <row r="522" spans="1:9" ht="18.75">
      <c r="A522" s="20"/>
      <c r="E522" s="18"/>
      <c r="F522" s="18"/>
      <c r="H522" s="18"/>
      <c r="I522" s="18"/>
    </row>
    <row r="523" spans="1:9" ht="18.75">
      <c r="A523" s="20"/>
      <c r="E523" s="18"/>
      <c r="F523" s="18"/>
      <c r="H523" s="18"/>
      <c r="I523" s="18"/>
    </row>
    <row r="524" spans="1:9" ht="18.75">
      <c r="A524" s="34"/>
      <c r="E524" s="18"/>
      <c r="F524" s="18"/>
      <c r="H524" s="18"/>
      <c r="I524" s="18"/>
    </row>
    <row r="525" spans="1:9" ht="18.75">
      <c r="A525" s="34"/>
      <c r="E525" s="18"/>
      <c r="F525" s="18"/>
      <c r="H525" s="18"/>
      <c r="I525" s="18"/>
    </row>
    <row r="526" spans="1:9" ht="18.75">
      <c r="A526" s="34"/>
      <c r="E526" s="18"/>
      <c r="F526" s="18"/>
      <c r="H526" s="18"/>
      <c r="I526" s="18"/>
    </row>
    <row r="527" spans="1:9" ht="18.75">
      <c r="A527" s="34"/>
      <c r="E527" s="18"/>
      <c r="F527" s="18"/>
      <c r="H527" s="18"/>
      <c r="I527" s="18"/>
    </row>
    <row r="528" spans="1:9" ht="18.75">
      <c r="A528" s="34"/>
      <c r="E528" s="18"/>
      <c r="F528" s="18"/>
      <c r="H528" s="18"/>
      <c r="I528" s="18"/>
    </row>
    <row r="529" spans="1:9" ht="18.75">
      <c r="A529" s="20"/>
      <c r="D529" s="18"/>
      <c r="E529" s="18"/>
      <c r="F529" s="18"/>
      <c r="H529" s="18"/>
      <c r="I529" s="18"/>
    </row>
    <row r="530" spans="1:9" ht="18.75">
      <c r="A530" s="34"/>
      <c r="D530" s="59"/>
      <c r="E530" s="18"/>
      <c r="F530" s="18"/>
      <c r="H530" s="18"/>
      <c r="I530" s="18"/>
    </row>
    <row r="531" ht="18.75">
      <c r="A531" s="34"/>
    </row>
    <row r="532" ht="18.75">
      <c r="A532" s="34"/>
    </row>
    <row r="533" ht="18.75">
      <c r="A533" s="34"/>
    </row>
    <row r="534" ht="18.75">
      <c r="A534" s="34"/>
    </row>
    <row r="535" ht="18.75">
      <c r="A535" s="34"/>
    </row>
    <row r="536" ht="18.75">
      <c r="A536" s="34"/>
    </row>
    <row r="537" ht="18.75">
      <c r="A537" s="34"/>
    </row>
    <row r="538" ht="18.75">
      <c r="A538" s="34"/>
    </row>
    <row r="539" ht="18.75">
      <c r="A539" s="34"/>
    </row>
    <row r="540" ht="18.75">
      <c r="A540" s="34"/>
    </row>
    <row r="541" ht="18.75">
      <c r="A541" s="34"/>
    </row>
    <row r="542" ht="18.75">
      <c r="A542" s="34"/>
    </row>
    <row r="543" ht="18.75">
      <c r="A543" s="34"/>
    </row>
    <row r="544" ht="18.75">
      <c r="A544" s="34"/>
    </row>
    <row r="545" ht="18.75">
      <c r="A545" s="34"/>
    </row>
    <row r="546" ht="18.75">
      <c r="A546" s="34"/>
    </row>
    <row r="547" ht="18.75">
      <c r="A547" s="34"/>
    </row>
    <row r="548" ht="18.75">
      <c r="A548" s="34"/>
    </row>
    <row r="549" ht="18.75">
      <c r="A549" s="34"/>
    </row>
    <row r="550" ht="18.75">
      <c r="A550" s="34"/>
    </row>
    <row r="551" ht="18.75">
      <c r="A551" s="34"/>
    </row>
    <row r="552" ht="18.75">
      <c r="A552" s="34"/>
    </row>
    <row r="553" ht="18.75">
      <c r="A553" s="34"/>
    </row>
    <row r="554" ht="18.75">
      <c r="A554" s="34"/>
    </row>
    <row r="562" ht="18.75">
      <c r="E562" s="223"/>
    </row>
  </sheetData>
  <sheetProtection/>
  <mergeCells count="16">
    <mergeCell ref="A505:D505"/>
    <mergeCell ref="H507:I507"/>
    <mergeCell ref="K1:M1"/>
    <mergeCell ref="N1:P1"/>
    <mergeCell ref="E1:G1"/>
    <mergeCell ref="H1:J1"/>
    <mergeCell ref="A1:A2"/>
    <mergeCell ref="B1:B2"/>
    <mergeCell ref="C1:C2"/>
    <mergeCell ref="D1:D2"/>
    <mergeCell ref="Y3:Z3"/>
    <mergeCell ref="AA3:AB3"/>
    <mergeCell ref="S3:S4"/>
    <mergeCell ref="T3:T4"/>
    <mergeCell ref="U3:V3"/>
    <mergeCell ref="W3:X3"/>
  </mergeCells>
  <printOptions/>
  <pageMargins left="0.4724409448818898" right="0.5118110236220472" top="0.7480314960629921" bottom="0.35433070866141736" header="0.5118110236220472" footer="0.31496062992125984"/>
  <pageSetup fitToHeight="0" fitToWidth="1" horizontalDpi="600" verticalDpi="600" orientation="landscape" paperSize="9" scale="53" r:id="rId3"/>
  <headerFooter alignWithMargins="0">
    <oddHeader>&amp;C&amp;"Times New Roman,Pogrubiona"&amp;16Plan i wykonanie wydatków budżetu Gminy Golczewo za I półrocze 2010 r. wg klasyfikacji budżetowej (w zł)&amp;R&amp;"Times New Roman,Normalny"&amp;14Załącznik nr 3
</oddHeader>
    <oddFooter>&amp;CStrona &amp;P</oddFooter>
  </headerFooter>
  <rowBreaks count="11" manualBreakCount="11">
    <brk id="39" max="15" man="1"/>
    <brk id="82" max="15" man="1"/>
    <brk id="124" max="15" man="1"/>
    <brk id="164" max="15" man="1"/>
    <brk id="203" max="15" man="1"/>
    <brk id="249" max="15" man="1"/>
    <brk id="293" max="15" man="1"/>
    <brk id="337" max="15" man="1"/>
    <brk id="378" max="15" man="1"/>
    <brk id="423" max="15" man="1"/>
    <brk id="472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9"/>
  <sheetViews>
    <sheetView zoomScale="120" zoomScaleNormal="120" zoomScalePageLayoutView="0" workbookViewId="0" topLeftCell="A19">
      <selection activeCell="E37" sqref="E37"/>
    </sheetView>
  </sheetViews>
  <sheetFormatPr defaultColWidth="9.140625" defaultRowHeight="12.75"/>
  <cols>
    <col min="1" max="1" width="5.00390625" style="36" customWidth="1"/>
    <col min="2" max="2" width="30.8515625" style="36" customWidth="1"/>
    <col min="3" max="3" width="18.7109375" style="36" customWidth="1"/>
    <col min="4" max="4" width="18.8515625" style="36" customWidth="1"/>
    <col min="5" max="5" width="13.140625" style="36" customWidth="1"/>
    <col min="6" max="16" width="9.140625" style="36" hidden="1" customWidth="1"/>
    <col min="17" max="16384" width="9.140625" style="36" customWidth="1"/>
  </cols>
  <sheetData>
    <row r="2" spans="1:5" ht="29.25" customHeight="1">
      <c r="A2" s="536" t="s">
        <v>271</v>
      </c>
      <c r="B2" s="536"/>
      <c r="C2" s="536"/>
      <c r="D2" s="536"/>
      <c r="E2" s="536"/>
    </row>
    <row r="4" spans="1:2" ht="12.75">
      <c r="A4" s="535" t="s">
        <v>208</v>
      </c>
      <c r="B4" s="535"/>
    </row>
    <row r="5" ht="5.25" customHeight="1"/>
    <row r="6" spans="1:5" ht="12.75">
      <c r="A6" s="363" t="s">
        <v>192</v>
      </c>
      <c r="B6" s="363" t="s">
        <v>3</v>
      </c>
      <c r="C6" s="363" t="s">
        <v>81</v>
      </c>
      <c r="D6" s="363" t="s">
        <v>78</v>
      </c>
      <c r="E6" s="363" t="s">
        <v>82</v>
      </c>
    </row>
    <row r="7" spans="1:5" ht="12.75">
      <c r="A7" s="364" t="s">
        <v>191</v>
      </c>
      <c r="B7" s="365" t="s">
        <v>209</v>
      </c>
      <c r="C7" s="366">
        <v>1027000</v>
      </c>
      <c r="D7" s="366">
        <v>411061.05</v>
      </c>
      <c r="E7" s="367">
        <f>D7/C7</f>
        <v>0.4002541869522882</v>
      </c>
    </row>
    <row r="8" spans="1:5" ht="12.75">
      <c r="A8" s="364" t="s">
        <v>193</v>
      </c>
      <c r="B8" s="365" t="s">
        <v>210</v>
      </c>
      <c r="C8" s="366">
        <v>50000</v>
      </c>
      <c r="D8" s="366">
        <v>8751</v>
      </c>
      <c r="E8" s="367">
        <f>D8/C8</f>
        <v>0.17502</v>
      </c>
    </row>
    <row r="9" spans="1:5" ht="12.75">
      <c r="A9" s="364" t="s">
        <v>196</v>
      </c>
      <c r="B9" s="365" t="s">
        <v>229</v>
      </c>
      <c r="C9" s="366">
        <v>9</v>
      </c>
      <c r="D9" s="366">
        <v>4.74</v>
      </c>
      <c r="E9" s="367">
        <f>D9/C9</f>
        <v>0.5266666666666667</v>
      </c>
    </row>
    <row r="10" spans="1:5" ht="13.5">
      <c r="A10" s="365"/>
      <c r="B10" s="368" t="s">
        <v>195</v>
      </c>
      <c r="C10" s="369">
        <f>C7+C8+C9</f>
        <v>1077009</v>
      </c>
      <c r="D10" s="369">
        <f>D7+D8+D9</f>
        <v>419816.79</v>
      </c>
      <c r="E10" s="370">
        <f>D10/C10</f>
        <v>0.3897987760547962</v>
      </c>
    </row>
    <row r="11" spans="1:5" ht="20.25" customHeight="1">
      <c r="A11" s="537" t="s">
        <v>213</v>
      </c>
      <c r="B11" s="537"/>
      <c r="C11" s="371"/>
      <c r="D11" s="371"/>
      <c r="E11" s="372"/>
    </row>
    <row r="12" spans="1:5" ht="12.75">
      <c r="A12" s="363" t="s">
        <v>191</v>
      </c>
      <c r="B12" s="373" t="s">
        <v>211</v>
      </c>
      <c r="C12" s="366">
        <v>740000</v>
      </c>
      <c r="D12" s="366">
        <v>340844.68</v>
      </c>
      <c r="E12" s="367">
        <f aca="true" t="shared" si="0" ref="E12:E25">D12/C12</f>
        <v>0.4606009189189189</v>
      </c>
    </row>
    <row r="13" spans="1:5" ht="12.75">
      <c r="A13" s="363" t="s">
        <v>193</v>
      </c>
      <c r="B13" s="373" t="s">
        <v>260</v>
      </c>
      <c r="C13" s="374">
        <v>25000</v>
      </c>
      <c r="D13" s="374">
        <v>2195</v>
      </c>
      <c r="E13" s="367">
        <f t="shared" si="0"/>
        <v>0.0878</v>
      </c>
    </row>
    <row r="14" spans="1:5" ht="51">
      <c r="A14" s="363" t="s">
        <v>196</v>
      </c>
      <c r="B14" s="373" t="s">
        <v>261</v>
      </c>
      <c r="C14" s="374">
        <v>66000</v>
      </c>
      <c r="D14" s="374">
        <v>19481.18</v>
      </c>
      <c r="E14" s="367">
        <f t="shared" si="0"/>
        <v>0.29516939393939395</v>
      </c>
    </row>
    <row r="15" spans="1:5" ht="12.75">
      <c r="A15" s="363" t="s">
        <v>197</v>
      </c>
      <c r="B15" s="373" t="s">
        <v>262</v>
      </c>
      <c r="C15" s="374">
        <v>35000</v>
      </c>
      <c r="D15" s="374">
        <v>12830.57</v>
      </c>
      <c r="E15" s="367">
        <f t="shared" si="0"/>
        <v>0.3665877142857143</v>
      </c>
    </row>
    <row r="16" spans="1:5" ht="12.75">
      <c r="A16" s="363" t="s">
        <v>198</v>
      </c>
      <c r="B16" s="373" t="s">
        <v>263</v>
      </c>
      <c r="C16" s="374">
        <v>14000</v>
      </c>
      <c r="D16" s="374">
        <v>3631.4</v>
      </c>
      <c r="E16" s="367">
        <f t="shared" si="0"/>
        <v>0.2593857142857143</v>
      </c>
    </row>
    <row r="17" spans="1:5" ht="30" customHeight="1">
      <c r="A17" s="363" t="s">
        <v>199</v>
      </c>
      <c r="B17" s="373" t="s">
        <v>264</v>
      </c>
      <c r="C17" s="374">
        <v>6000</v>
      </c>
      <c r="D17" s="374">
        <v>1645.94</v>
      </c>
      <c r="E17" s="367">
        <f t="shared" si="0"/>
        <v>0.27432333333333336</v>
      </c>
    </row>
    <row r="18" spans="1:5" ht="15.75" customHeight="1">
      <c r="A18" s="363" t="s">
        <v>200</v>
      </c>
      <c r="B18" s="373" t="s">
        <v>265</v>
      </c>
      <c r="C18" s="374">
        <v>60000</v>
      </c>
      <c r="D18" s="374">
        <v>27620.6</v>
      </c>
      <c r="E18" s="367">
        <f t="shared" si="0"/>
        <v>0.4603433333333333</v>
      </c>
    </row>
    <row r="19" spans="1:5" ht="26.25" customHeight="1">
      <c r="A19" s="363" t="s">
        <v>201</v>
      </c>
      <c r="B19" s="373" t="s">
        <v>232</v>
      </c>
      <c r="C19" s="374">
        <v>5000</v>
      </c>
      <c r="D19" s="374">
        <v>2259.78</v>
      </c>
      <c r="E19" s="367">
        <f t="shared" si="0"/>
        <v>0.451956</v>
      </c>
    </row>
    <row r="20" spans="1:5" ht="12.75" customHeight="1">
      <c r="A20" s="363" t="s">
        <v>202</v>
      </c>
      <c r="B20" s="373" t="s">
        <v>266</v>
      </c>
      <c r="C20" s="374">
        <v>62509</v>
      </c>
      <c r="D20" s="374">
        <v>13883.1</v>
      </c>
      <c r="E20" s="367">
        <f t="shared" si="0"/>
        <v>0.22209761794301622</v>
      </c>
    </row>
    <row r="21" spans="1:5" ht="25.5" customHeight="1">
      <c r="A21" s="363" t="s">
        <v>230</v>
      </c>
      <c r="B21" s="373" t="s">
        <v>267</v>
      </c>
      <c r="C21" s="374">
        <v>9000</v>
      </c>
      <c r="D21" s="374">
        <v>3394.63</v>
      </c>
      <c r="E21" s="367">
        <f t="shared" si="0"/>
        <v>0.37718111111111113</v>
      </c>
    </row>
    <row r="22" spans="1:5" ht="54.75" customHeight="1">
      <c r="A22" s="363" t="s">
        <v>231</v>
      </c>
      <c r="B22" s="373" t="s">
        <v>268</v>
      </c>
      <c r="C22" s="374">
        <v>30000</v>
      </c>
      <c r="D22" s="374">
        <v>10626.42</v>
      </c>
      <c r="E22" s="367">
        <f t="shared" si="0"/>
        <v>0.35421400000000003</v>
      </c>
    </row>
    <row r="23" spans="1:5" ht="27" customHeight="1">
      <c r="A23" s="363" t="s">
        <v>233</v>
      </c>
      <c r="B23" s="373" t="s">
        <v>269</v>
      </c>
      <c r="C23" s="374">
        <v>20000</v>
      </c>
      <c r="D23" s="374">
        <v>4329.68</v>
      </c>
      <c r="E23" s="367">
        <f t="shared" si="0"/>
        <v>0.216484</v>
      </c>
    </row>
    <row r="24" spans="1:5" ht="26.25" customHeight="1">
      <c r="A24" s="363" t="s">
        <v>234</v>
      </c>
      <c r="B24" s="373" t="s">
        <v>270</v>
      </c>
      <c r="C24" s="374">
        <v>4500</v>
      </c>
      <c r="D24" s="374">
        <v>2310.73</v>
      </c>
      <c r="E24" s="367">
        <f t="shared" si="0"/>
        <v>0.5134955555555556</v>
      </c>
    </row>
    <row r="25" spans="1:5" ht="13.5">
      <c r="A25" s="364"/>
      <c r="B25" s="368" t="s">
        <v>195</v>
      </c>
      <c r="C25" s="375">
        <f>SUM(C12:C24)</f>
        <v>1077009</v>
      </c>
      <c r="D25" s="375">
        <f>SUM(D12:D24)</f>
        <v>445053.70999999996</v>
      </c>
      <c r="E25" s="376">
        <f t="shared" si="0"/>
        <v>0.4132311893401076</v>
      </c>
    </row>
    <row r="26" spans="1:2" ht="22.5" customHeight="1">
      <c r="A26" s="535" t="s">
        <v>272</v>
      </c>
      <c r="B26" s="535"/>
    </row>
    <row r="27" spans="1:5" ht="12.75">
      <c r="A27" s="363" t="s">
        <v>192</v>
      </c>
      <c r="B27" s="363" t="s">
        <v>3</v>
      </c>
      <c r="C27" s="363" t="s">
        <v>81</v>
      </c>
      <c r="D27" s="363" t="s">
        <v>78</v>
      </c>
      <c r="E27" s="363" t="s">
        <v>82</v>
      </c>
    </row>
    <row r="28" spans="1:5" ht="12.75">
      <c r="A28" s="365" t="s">
        <v>191</v>
      </c>
      <c r="B28" s="365" t="s">
        <v>273</v>
      </c>
      <c r="C28" s="366">
        <v>90000</v>
      </c>
      <c r="D28" s="366">
        <v>0</v>
      </c>
      <c r="E28" s="489">
        <f>D28/C28</f>
        <v>0</v>
      </c>
    </row>
    <row r="29" spans="1:5" ht="13.5">
      <c r="A29" s="365"/>
      <c r="B29" s="368" t="s">
        <v>195</v>
      </c>
      <c r="C29" s="369">
        <f>C28</f>
        <v>90000</v>
      </c>
      <c r="D29" s="369">
        <f>D28</f>
        <v>0</v>
      </c>
      <c r="E29" s="490">
        <f>D29/C29</f>
        <v>0</v>
      </c>
    </row>
  </sheetData>
  <sheetProtection/>
  <mergeCells count="4">
    <mergeCell ref="A4:B4"/>
    <mergeCell ref="A2:E2"/>
    <mergeCell ref="A11:B11"/>
    <mergeCell ref="A26:B26"/>
  </mergeCells>
  <printOptions/>
  <pageMargins left="0.7874015748031497" right="0.7086614173228347" top="0.7480314960629921" bottom="0.3937007874015748" header="0.5118110236220472" footer="0.35433070866141736"/>
  <pageSetup fitToHeight="0" horizontalDpi="600" verticalDpi="600" orientation="portrait" paperSize="9" r:id="rId1"/>
  <headerFooter alignWithMargins="0">
    <oddHeader>&amp;R&amp;"Times New Roman,Normalny"&amp;11Załącznik nr 5</oddHeader>
    <oddFooter>&amp;C
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0">
      <selection activeCell="D21" sqref="D21"/>
    </sheetView>
  </sheetViews>
  <sheetFormatPr defaultColWidth="9.140625" defaultRowHeight="12.75"/>
  <cols>
    <col min="1" max="1" width="5.00390625" style="36" customWidth="1"/>
    <col min="2" max="2" width="34.140625" style="36" customWidth="1"/>
    <col min="3" max="3" width="17.421875" style="36" customWidth="1"/>
    <col min="4" max="4" width="16.28125" style="36" customWidth="1"/>
    <col min="5" max="5" width="13.28125" style="36" customWidth="1"/>
    <col min="6" max="16384" width="9.140625" style="36" customWidth="1"/>
  </cols>
  <sheetData>
    <row r="2" spans="1:5" ht="29.25" customHeight="1">
      <c r="A2" s="536" t="s">
        <v>274</v>
      </c>
      <c r="B2" s="536"/>
      <c r="C2" s="536"/>
      <c r="D2" s="536"/>
      <c r="E2" s="536"/>
    </row>
    <row r="4" spans="1:2" ht="12.75">
      <c r="A4" s="535" t="s">
        <v>208</v>
      </c>
      <c r="B4" s="535"/>
    </row>
    <row r="5" ht="5.25" customHeight="1"/>
    <row r="6" spans="1:5" ht="12.75">
      <c r="A6" s="363" t="s">
        <v>192</v>
      </c>
      <c r="B6" s="363" t="s">
        <v>3</v>
      </c>
      <c r="C6" s="363" t="s">
        <v>81</v>
      </c>
      <c r="D6" s="363" t="s">
        <v>78</v>
      </c>
      <c r="E6" s="363" t="s">
        <v>82</v>
      </c>
    </row>
    <row r="7" spans="1:5" ht="12.75">
      <c r="A7" s="364" t="s">
        <v>191</v>
      </c>
      <c r="B7" s="365" t="s">
        <v>217</v>
      </c>
      <c r="C7" s="366">
        <v>153200</v>
      </c>
      <c r="D7" s="366">
        <v>65646</v>
      </c>
      <c r="E7" s="367">
        <f>D7/C7</f>
        <v>0.42849869451697126</v>
      </c>
    </row>
    <row r="8" spans="1:5" ht="12.75">
      <c r="A8" s="364">
        <v>2</v>
      </c>
      <c r="B8" s="365" t="s">
        <v>218</v>
      </c>
      <c r="C8" s="366">
        <v>100000</v>
      </c>
      <c r="D8" s="366">
        <v>854</v>
      </c>
      <c r="E8" s="367">
        <f>D8/C8</f>
        <v>0.00854</v>
      </c>
    </row>
    <row r="9" spans="1:5" ht="12.75">
      <c r="A9" s="364">
        <v>3</v>
      </c>
      <c r="B9" s="365" t="s">
        <v>275</v>
      </c>
      <c r="C9" s="366">
        <v>0</v>
      </c>
      <c r="D9" s="366">
        <v>7080</v>
      </c>
      <c r="E9" s="367"/>
    </row>
    <row r="10" spans="1:5" ht="12.75">
      <c r="A10" s="364">
        <v>4</v>
      </c>
      <c r="B10" s="365" t="s">
        <v>194</v>
      </c>
      <c r="C10" s="366">
        <v>0</v>
      </c>
      <c r="D10" s="366">
        <v>23.92</v>
      </c>
      <c r="E10" s="367" t="s">
        <v>166</v>
      </c>
    </row>
    <row r="11" spans="1:5" ht="13.5">
      <c r="A11" s="365"/>
      <c r="B11" s="368" t="s">
        <v>195</v>
      </c>
      <c r="C11" s="369">
        <f>C7+C8+C9+C10</f>
        <v>253200</v>
      </c>
      <c r="D11" s="369">
        <f>D7+D8+D9+D10</f>
        <v>73603.92</v>
      </c>
      <c r="E11" s="367">
        <f>D11/C11</f>
        <v>0.2906947867298578</v>
      </c>
    </row>
    <row r="12" spans="1:5" ht="12.75">
      <c r="A12" s="537" t="s">
        <v>213</v>
      </c>
      <c r="B12" s="537"/>
      <c r="C12" s="371"/>
      <c r="D12" s="371"/>
      <c r="E12" s="372"/>
    </row>
    <row r="13" spans="1:5" ht="12.75">
      <c r="A13" s="363" t="s">
        <v>191</v>
      </c>
      <c r="B13" s="373" t="s">
        <v>276</v>
      </c>
      <c r="C13" s="377">
        <v>6700</v>
      </c>
      <c r="D13" s="377">
        <v>6144.56</v>
      </c>
      <c r="E13" s="367">
        <f aca="true" t="shared" si="0" ref="E13:E30">D13/C13</f>
        <v>0.9170985074626866</v>
      </c>
    </row>
    <row r="14" spans="1:5" ht="15" customHeight="1">
      <c r="A14" s="364" t="s">
        <v>193</v>
      </c>
      <c r="B14" s="373" t="s">
        <v>277</v>
      </c>
      <c r="C14" s="366">
        <v>27500</v>
      </c>
      <c r="D14" s="366">
        <v>9616.26</v>
      </c>
      <c r="E14" s="378">
        <f t="shared" si="0"/>
        <v>0.34968218181818184</v>
      </c>
    </row>
    <row r="15" spans="1:5" s="495" customFormat="1" ht="15" customHeight="1">
      <c r="A15" s="491"/>
      <c r="B15" s="492" t="s">
        <v>278</v>
      </c>
      <c r="C15" s="493">
        <v>300</v>
      </c>
      <c r="D15" s="493">
        <v>214</v>
      </c>
      <c r="E15" s="494">
        <f t="shared" si="0"/>
        <v>0.7133333333333334</v>
      </c>
    </row>
    <row r="16" spans="1:5" s="495" customFormat="1" ht="15" customHeight="1">
      <c r="A16" s="491"/>
      <c r="B16" s="492" t="s">
        <v>279</v>
      </c>
      <c r="C16" s="493">
        <v>6000</v>
      </c>
      <c r="D16" s="493">
        <v>1240.01</v>
      </c>
      <c r="E16" s="494">
        <f t="shared" si="0"/>
        <v>0.20666833333333334</v>
      </c>
    </row>
    <row r="17" spans="1:5" s="495" customFormat="1" ht="15" customHeight="1">
      <c r="A17" s="491"/>
      <c r="B17" s="492" t="s">
        <v>280</v>
      </c>
      <c r="C17" s="493">
        <v>500</v>
      </c>
      <c r="D17" s="493">
        <v>0</v>
      </c>
      <c r="E17" s="494">
        <f t="shared" si="0"/>
        <v>0</v>
      </c>
    </row>
    <row r="18" spans="1:5" s="495" customFormat="1" ht="15" customHeight="1">
      <c r="A18" s="491"/>
      <c r="B18" s="492" t="s">
        <v>281</v>
      </c>
      <c r="C18" s="493">
        <v>300</v>
      </c>
      <c r="D18" s="493">
        <v>110.25</v>
      </c>
      <c r="E18" s="494">
        <f t="shared" si="0"/>
        <v>0.3675</v>
      </c>
    </row>
    <row r="19" spans="1:5" s="495" customFormat="1" ht="15" customHeight="1">
      <c r="A19" s="491"/>
      <c r="B19" s="492" t="s">
        <v>282</v>
      </c>
      <c r="C19" s="493">
        <v>400</v>
      </c>
      <c r="D19" s="493">
        <v>0</v>
      </c>
      <c r="E19" s="494">
        <f t="shared" si="0"/>
        <v>0</v>
      </c>
    </row>
    <row r="20" spans="1:5" ht="12.75">
      <c r="A20" s="364" t="s">
        <v>196</v>
      </c>
      <c r="B20" s="373" t="s">
        <v>52</v>
      </c>
      <c r="C20" s="366">
        <v>15500</v>
      </c>
      <c r="D20" s="366">
        <v>8139.94</v>
      </c>
      <c r="E20" s="378">
        <f t="shared" si="0"/>
        <v>0.5251574193548387</v>
      </c>
    </row>
    <row r="21" spans="1:5" s="495" customFormat="1" ht="12.75">
      <c r="A21" s="491"/>
      <c r="B21" s="492" t="s">
        <v>283</v>
      </c>
      <c r="C21" s="493">
        <v>500</v>
      </c>
      <c r="D21" s="493">
        <v>242.25</v>
      </c>
      <c r="E21" s="494">
        <f t="shared" si="0"/>
        <v>0.4845</v>
      </c>
    </row>
    <row r="22" spans="1:5" s="495" customFormat="1" ht="12.75">
      <c r="A22" s="491"/>
      <c r="B22" s="492" t="s">
        <v>284</v>
      </c>
      <c r="C22" s="493">
        <v>15000</v>
      </c>
      <c r="D22" s="493">
        <v>7897.69</v>
      </c>
      <c r="E22" s="494">
        <f t="shared" si="0"/>
        <v>0.5265126666666666</v>
      </c>
    </row>
    <row r="23" spans="1:5" ht="12.75">
      <c r="A23" s="364" t="s">
        <v>197</v>
      </c>
      <c r="B23" s="373" t="s">
        <v>203</v>
      </c>
      <c r="C23" s="366">
        <v>3000</v>
      </c>
      <c r="D23" s="366">
        <v>1572.61</v>
      </c>
      <c r="E23" s="378">
        <f t="shared" si="0"/>
        <v>0.5242033333333334</v>
      </c>
    </row>
    <row r="24" spans="1:5" ht="12.75">
      <c r="A24" s="364" t="s">
        <v>198</v>
      </c>
      <c r="B24" s="373" t="s">
        <v>204</v>
      </c>
      <c r="C24" s="366">
        <v>5000</v>
      </c>
      <c r="D24" s="366">
        <v>0</v>
      </c>
      <c r="E24" s="378">
        <f t="shared" si="0"/>
        <v>0</v>
      </c>
    </row>
    <row r="25" spans="1:5" ht="12.75">
      <c r="A25" s="364" t="s">
        <v>199</v>
      </c>
      <c r="B25" s="373" t="s">
        <v>205</v>
      </c>
      <c r="C25" s="366">
        <v>6900</v>
      </c>
      <c r="D25" s="366">
        <v>2555.52</v>
      </c>
      <c r="E25" s="378">
        <f t="shared" si="0"/>
        <v>0.37036521739130435</v>
      </c>
    </row>
    <row r="26" spans="1:5" ht="12.75">
      <c r="A26" s="364" t="s">
        <v>200</v>
      </c>
      <c r="B26" s="373" t="s">
        <v>206</v>
      </c>
      <c r="C26" s="366">
        <v>100</v>
      </c>
      <c r="D26" s="366">
        <v>17.6</v>
      </c>
      <c r="E26" s="378">
        <f t="shared" si="0"/>
        <v>0.17600000000000002</v>
      </c>
    </row>
    <row r="27" spans="1:5" ht="25.5">
      <c r="A27" s="363" t="s">
        <v>201</v>
      </c>
      <c r="B27" s="373" t="s">
        <v>207</v>
      </c>
      <c r="C27" s="377">
        <v>85000</v>
      </c>
      <c r="D27" s="377">
        <v>41500.68</v>
      </c>
      <c r="E27" s="367">
        <f t="shared" si="0"/>
        <v>0.48824329411764705</v>
      </c>
    </row>
    <row r="28" spans="1:5" ht="25.5">
      <c r="A28" s="363" t="s">
        <v>202</v>
      </c>
      <c r="B28" s="373" t="s">
        <v>212</v>
      </c>
      <c r="C28" s="377">
        <v>3500</v>
      </c>
      <c r="D28" s="377">
        <v>2120.88</v>
      </c>
      <c r="E28" s="367">
        <f t="shared" si="0"/>
        <v>0.6059657142857143</v>
      </c>
    </row>
    <row r="29" spans="1:5" ht="38.25">
      <c r="A29" s="363">
        <v>10</v>
      </c>
      <c r="B29" s="373" t="s">
        <v>219</v>
      </c>
      <c r="C29" s="377">
        <v>100000</v>
      </c>
      <c r="D29" s="377">
        <v>854</v>
      </c>
      <c r="E29" s="367">
        <f t="shared" si="0"/>
        <v>0.00854</v>
      </c>
    </row>
    <row r="30" spans="1:5" ht="13.5">
      <c r="A30" s="364"/>
      <c r="B30" s="368" t="s">
        <v>195</v>
      </c>
      <c r="C30" s="369">
        <f>C13+C14+C20+C23+C24+C25+C26+C27+C28+C29</f>
        <v>253200</v>
      </c>
      <c r="D30" s="369">
        <f>D13+D14+D20+D23+D24+D25+D26+D27+D28+D29</f>
        <v>72522.05</v>
      </c>
      <c r="E30" s="376">
        <f t="shared" si="0"/>
        <v>0.2864219984202212</v>
      </c>
    </row>
    <row r="31" ht="12.75">
      <c r="E31" s="362"/>
    </row>
  </sheetData>
  <sheetProtection/>
  <mergeCells count="3">
    <mergeCell ref="A4:B4"/>
    <mergeCell ref="A2:E2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Roman,Normalny"&amp;11Załącznik nr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Golczewo</dc:creator>
  <cp:keywords/>
  <dc:description/>
  <cp:lastModifiedBy>Dom</cp:lastModifiedBy>
  <cp:lastPrinted>2014-01-05T14:32:39Z</cp:lastPrinted>
  <dcterms:created xsi:type="dcterms:W3CDTF">2002-11-05T09:24:50Z</dcterms:created>
  <dcterms:modified xsi:type="dcterms:W3CDTF">2014-01-05T14:33:31Z</dcterms:modified>
  <cp:category/>
  <cp:version/>
  <cp:contentType/>
  <cp:contentStatus/>
</cp:coreProperties>
</file>