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1"/>
  </bookViews>
  <sheets>
    <sheet name="Abs_D2007" sheetId="1" r:id="rId1"/>
    <sheet name="Abs_W2007" sheetId="2" r:id="rId2"/>
  </sheets>
  <externalReferences>
    <externalReference r:id="rId5"/>
  </externalReferences>
  <definedNames>
    <definedName name="CRITERIA">'[1]Arkusz3'!#REF!</definedName>
    <definedName name="_xlnm.Print_Area" localSheetId="0">'Abs_D2007'!$A$1:$P$139</definedName>
    <definedName name="_xlnm.Print_Area" localSheetId="1">'Abs_W2007'!$A$1:$P$449</definedName>
  </definedNames>
  <calcPr fullCalcOnLoad="1"/>
</workbook>
</file>

<file path=xl/sharedStrings.xml><?xml version="1.0" encoding="utf-8"?>
<sst xmlns="http://schemas.openxmlformats.org/spreadsheetml/2006/main" count="672" uniqueCount="199">
  <si>
    <t>Dz.</t>
  </si>
  <si>
    <t>Rozdz.</t>
  </si>
  <si>
    <t>§</t>
  </si>
  <si>
    <t>Wyszczególnienie</t>
  </si>
  <si>
    <t>Pozostała działalność</t>
  </si>
  <si>
    <t>Gospodarka mieszkaniowa</t>
  </si>
  <si>
    <t>Wpływy z usług</t>
  </si>
  <si>
    <t>Dodatki mieszkaniowe</t>
  </si>
  <si>
    <t>Podatek rolny</t>
  </si>
  <si>
    <t>Podatek leśny</t>
  </si>
  <si>
    <t>Podatek od nieruchomości</t>
  </si>
  <si>
    <t>Podatek od posiadania psów</t>
  </si>
  <si>
    <t>Wpływy z opłaty skarbowej</t>
  </si>
  <si>
    <t>Urzędy wojewódzkie</t>
  </si>
  <si>
    <t>Różne rozliczenia</t>
  </si>
  <si>
    <t>OGÓŁEM DOCHODY</t>
  </si>
  <si>
    <t>Ochrona zdrowia</t>
  </si>
  <si>
    <t>Gospodarka gruntami i nieruchomościami</t>
  </si>
  <si>
    <t>Drogi publiczne powiatowe</t>
  </si>
  <si>
    <t>Leśnictwo</t>
  </si>
  <si>
    <t>Rolnictwo i łowiectwo</t>
  </si>
  <si>
    <t>Wpływy z różnych opłat</t>
  </si>
  <si>
    <t>Transport i łączność</t>
  </si>
  <si>
    <t>Turystyka</t>
  </si>
  <si>
    <t>Pozostałe odsetki</t>
  </si>
  <si>
    <t>Administracja publiczna</t>
  </si>
  <si>
    <t>Urzędy gmin (miast i miast na pr. powiatu)</t>
  </si>
  <si>
    <t>Podatek od czynności cywilnoprawnych</t>
  </si>
  <si>
    <t>Podatek od spadków i darowizn</t>
  </si>
  <si>
    <t>Wpływy z opłaty targowej</t>
  </si>
  <si>
    <t>Ośrodki pomocy społecznej</t>
  </si>
  <si>
    <t>Oświetlenie ulic, placów i dróg</t>
  </si>
  <si>
    <t>Wpływy z opłaty eksploatacyjnej</t>
  </si>
  <si>
    <t>Drogi publiczne gminne</t>
  </si>
  <si>
    <t>Działalność usługowa</t>
  </si>
  <si>
    <t>Cmentarze</t>
  </si>
  <si>
    <t>Różne rozliczenia finansowe</t>
  </si>
  <si>
    <t>Oświata i wychowanie</t>
  </si>
  <si>
    <t>Szkoły podstawowe</t>
  </si>
  <si>
    <t>Gimnazja</t>
  </si>
  <si>
    <t>Wpływy z różnych dochodów</t>
  </si>
  <si>
    <t>Edukacyjna opieka wychowawcza</t>
  </si>
  <si>
    <t>Izby rolnicze</t>
  </si>
  <si>
    <t>Zakup materiałów i wyposażenia</t>
  </si>
  <si>
    <t>Zakup usług remontowych</t>
  </si>
  <si>
    <t>Zakup usług pozostałych</t>
  </si>
  <si>
    <t>Dział</t>
  </si>
  <si>
    <t>OGÓŁEM</t>
  </si>
  <si>
    <t>Wynagrodzenia osobowe pracowników</t>
  </si>
  <si>
    <t>Dodatkowe wynagrodzenie roczne</t>
  </si>
  <si>
    <t>Składki na ubezpieczenia społeczne</t>
  </si>
  <si>
    <t>Składki na Fundusz Pracy</t>
  </si>
  <si>
    <t>Wpłaty na PFRON</t>
  </si>
  <si>
    <t>Zakup energii</t>
  </si>
  <si>
    <t>Różne opłaty i składki</t>
  </si>
  <si>
    <t>Plany zagospodarowania przestrzennego</t>
  </si>
  <si>
    <t>Podróże służbowe krajowe</t>
  </si>
  <si>
    <t>Rady gmin (miast i miast na prawach powiatu)</t>
  </si>
  <si>
    <t>Różne wydatki na rzecz osób fizycznych</t>
  </si>
  <si>
    <t>Urzędy gmin (miast i miast na prawach powiatu)</t>
  </si>
  <si>
    <t>Wynagrodzenia agencyjno-prowizyjne</t>
  </si>
  <si>
    <t>Ochotnicze straże pożarne</t>
  </si>
  <si>
    <t>Obsługa długu publicznego</t>
  </si>
  <si>
    <t>Dowożenie uczniów do szkół</t>
  </si>
  <si>
    <t>Licea ogólnokształcące</t>
  </si>
  <si>
    <t>Dokształcanie i doskonalenie nauczycieli</t>
  </si>
  <si>
    <t>Przeciwdziałanie alkoholizmowi</t>
  </si>
  <si>
    <t>Świadczenia społeczne</t>
  </si>
  <si>
    <t>Świetlice szkolne</t>
  </si>
  <si>
    <t>Gosodarka komunalna i ochrona środowiska</t>
  </si>
  <si>
    <t>Oczyszczanie miast i wsi</t>
  </si>
  <si>
    <t>Utrzymanie zieleni w miastach i gminach</t>
  </si>
  <si>
    <t>Schroniska dla zwierząt</t>
  </si>
  <si>
    <t>Wydatki inwestycyjne jednostek budżetowych</t>
  </si>
  <si>
    <t>Biblioteki</t>
  </si>
  <si>
    <t>Kultura fizyczna i sport</t>
  </si>
  <si>
    <t xml:space="preserve">                                                               OGÓŁEM WYDATKI</t>
  </si>
  <si>
    <t>Wydatki</t>
  </si>
  <si>
    <t>Przedszkola</t>
  </si>
  <si>
    <t>Wykonanie</t>
  </si>
  <si>
    <t>Kultura i ochrona dziedzictwa narodowego</t>
  </si>
  <si>
    <t>Pomoc materialna dla uczniów</t>
  </si>
  <si>
    <t>Plan</t>
  </si>
  <si>
    <t>Wsk.</t>
  </si>
  <si>
    <t xml:space="preserve">           ZADANIA WŁASNE</t>
  </si>
  <si>
    <t xml:space="preserve">           ZADANIA ZLECONE</t>
  </si>
  <si>
    <t>Plan           (rubr.8+11+14)</t>
  </si>
  <si>
    <t>Wykonanie (rubr.9+12+15)</t>
  </si>
  <si>
    <t>ZADANIA POWIERZONE</t>
  </si>
  <si>
    <t xml:space="preserve">Wykonanie </t>
  </si>
  <si>
    <t>Budżet ogółem</t>
  </si>
  <si>
    <t>Zadania zlecone</t>
  </si>
  <si>
    <t>Zadania powierzone</t>
  </si>
  <si>
    <t>Zadania własne</t>
  </si>
  <si>
    <t xml:space="preserve">            zad.wł.+z.powierz.</t>
  </si>
  <si>
    <t xml:space="preserve">                      Budżet</t>
  </si>
  <si>
    <t>Pomoc społeczna</t>
  </si>
  <si>
    <t>Składki na ubezpieczenia zdrowotne</t>
  </si>
  <si>
    <t>Wynagrodzenia bezosobowe</t>
  </si>
  <si>
    <t>Promocja jednostek samorządu terytorialnego</t>
  </si>
  <si>
    <t>Stypendia dla uczniów</t>
  </si>
  <si>
    <t>Oddziały przedszkolne w szkołach podstawowych</t>
  </si>
  <si>
    <t>Zakup usług zdrowotnych</t>
  </si>
  <si>
    <t>Część równoważąca subwencji ogólnej dla gmin</t>
  </si>
  <si>
    <t>Zakup usług dostępu do sieci Internet</t>
  </si>
  <si>
    <t>Dotacje celowe otrzymane z budżetu państwa na realizację własnych zadań bieżących gmin</t>
  </si>
  <si>
    <t>Gospodarka komunalna i ochrona środowiska</t>
  </si>
  <si>
    <t>Komendy powiatowe Policji</t>
  </si>
  <si>
    <t>Wydatki na zakupy inwestycyjne jednostek budżetowych</t>
  </si>
  <si>
    <t>Wpływy z tytułu przekształcenia prawa użytkowania wieczystego przysługującego osobom fizycznym w prawo własności</t>
  </si>
  <si>
    <t>Dochody jednostek samorządu terytorialnego związane z realizacją  zadań z zakresu administracji rządowej oraz innych zadań zleconych ustawami</t>
  </si>
  <si>
    <t>Urzędy naczelnych organów władzy państwowej, kontroli i ochrony prawa oraz sądownictwa</t>
  </si>
  <si>
    <t>Urzędy naczelnych organów władzy państwowej, kontroli i ochrony prawa</t>
  </si>
  <si>
    <t>Dochody od osób prawnych, od osób fizycznych i od innych jednostek nieposiadających osobowości prawnej oraz wydatki związane z ich poborem</t>
  </si>
  <si>
    <t>Wpływy z podatku dochodowego od osób fizycznych</t>
  </si>
  <si>
    <t xml:space="preserve">Podatek od działalności gospodarczej osób fizycznych, opłacany w formie karty podatkowej 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</si>
  <si>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</si>
  <si>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</si>
  <si>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Podatek od środków transportowych</t>
  </si>
  <si>
    <t>Wpływy z innych opłat stanowiących dochody jst na podstawie ustaw</t>
  </si>
  <si>
    <t>Udziały gmin w podatkach stanowiacych dochód budżetu państwa</t>
  </si>
  <si>
    <t>Część oświatowa subwencji ogólnej dla jednostek samorządu terytorialnego</t>
  </si>
  <si>
    <t>Subwencje ogólne z budżetu państwa</t>
  </si>
  <si>
    <t>Część wyrównawcza subwencji ogólnnej dla gmin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</si>
  <si>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</si>
  <si>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</si>
  <si>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</si>
  <si>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Wpłaty gmin na rzecz izb rolniczych w wyskości 2% uzyskanych wpływów z podatku rolnego</t>
  </si>
  <si>
    <t>Wydatki osobowe niezaliczone do wynagrodzeń</t>
  </si>
  <si>
    <t>Odpisy na ZFŚS</t>
  </si>
  <si>
    <t xml:space="preserve">Urzędy naczelnych organów władzy państwowej, kontroli i ochrony prawa </t>
  </si>
  <si>
    <t>Bezpieczeństwo publiczne i ochrona przeciwpożarowa</t>
  </si>
  <si>
    <t>Pobór podatków, opłat i niepodatkowych należności budżetowych</t>
  </si>
  <si>
    <t>Obsługa papierów wartościowych, kredytów i pożyczek jednostek samorządu terytorialnego</t>
  </si>
  <si>
    <t>Odsetki i dyskonto od krajowych skarbowych papierów wartościowych oraz od krajowych pożyczek i kredytów</t>
  </si>
  <si>
    <t>Zakup pomocy naukowych, dydaktycznych i książek</t>
  </si>
  <si>
    <t>Dotacja celowa z budżetu na finansowanie lub dofinansowanie zadań zleconych do realizacji stowarzyszeniom</t>
  </si>
  <si>
    <t>Składki na ubezpieczenia zdrowotne opłacane za osoby pobierające niektóre świadczenia z pomocy społecznej oraz niektóre świadczenia rodzinne</t>
  </si>
  <si>
    <t>Dotacja podmiotowa z budżetu dla samorządowej instytucji kultury</t>
  </si>
  <si>
    <t>Wpływy z podatku rolnego, podatku leśnego, podatku od spadków i darowizn, podatku od czynności cywilnoprawnych oraz podatków i opłat lokalnych od osób fizycznych</t>
  </si>
  <si>
    <t>Dotacje celowe otrzymane z powiatu na zadania bieżące realizowane na podstawie porozumień (umów) między jednostkami samorządu terytorialnego</t>
  </si>
  <si>
    <t>Wpłaty z tytułu odpłatnego nabycia prawa własności oraz prawa użytkowania wieczystego nieruchomości</t>
  </si>
  <si>
    <t>Opracowania geodezyjne i kartograficzne</t>
  </si>
  <si>
    <t>Wybory do rad gmin, rad powiatów i sejmików województw, wybory wójtów, burmistrzów i prezydentów miast oraz referenda gminne, powiatowe i wojewódzkie</t>
  </si>
  <si>
    <t>Dotacje celowe przekazane dla powiatu na inwestycje i zakupy inwestycyjne realizowane na podstawie porozumień (umów) między jst</t>
  </si>
  <si>
    <t>Zwalczanie narkomanii</t>
  </si>
  <si>
    <t>Gospodarka odpadami</t>
  </si>
  <si>
    <t>Gospodarstwa pomocnicze</t>
  </si>
  <si>
    <t>Podatek dochodowy od osób fizycznych</t>
  </si>
  <si>
    <t>Podatek dochodowy od osób prawnych</t>
  </si>
  <si>
    <t>Wpływy z opłat za zarząd, użytkowanie i użytkowanie wieczyste nieruchomości</t>
  </si>
  <si>
    <t>Dochody z najmu i dzierżawy składników majątkowych Skarbu Państwa, j.s.t. lub innych jednostek zaliczanych do sektora finansów publicznych oraz innych umów o podobnym charakterze</t>
  </si>
  <si>
    <t>Wybory do rad gmin, rad powiatu i sejmików województw, wybory wójtów, burmistrzów i prezydentów miast oraz referenda gminne, powiatowe i wojewódzkie</t>
  </si>
  <si>
    <t>Wpływy z opłat za wydanie zezwoleń na sprzeadż alkoholu</t>
  </si>
  <si>
    <t>Dotacje celowe otrzymane z gminy na inwestycje i zakupy inwestycyjne realizowane na podstawie porozumień (umów) między j.s.t.</t>
  </si>
  <si>
    <t>010</t>
  </si>
  <si>
    <t>01095</t>
  </si>
  <si>
    <t>Dotacje celowe otrzymane z budżetu państwa na realizację zadań bieżących z zakresu administracji rządowej oraz innych zadań zleconych gminie (związkom gmin) ustawami</t>
  </si>
  <si>
    <t>Usuwanie skutków klęsk żywiołowych</t>
  </si>
  <si>
    <t>Pokrycie ujemnego wyniku finansowego i przejętych zobowiązań po likwidowanych i przekształcanych jednostkach zaliczanych do sektora finansów publicznych</t>
  </si>
  <si>
    <t>Komendy powiatowe Państwowej Straży Pożarnej</t>
  </si>
  <si>
    <t>Zespoły obsługi ekonomiczno-administracyjnej szkół</t>
  </si>
  <si>
    <t>Zwrot dotacji wykorzystanych niezgodnie z przeznaczeniem lub pobranych w nadmiernej wysokości</t>
  </si>
  <si>
    <t>Dotacje celowe otrzymane z budzetu państwa na zadania bieżące realizowane przez gminę na podstawie porozumień z organami administracji rządowej</t>
  </si>
  <si>
    <t>Dotacje celowe otrzymane od samorządu województwa na zadania bieżące realizowane na podstawie porozumień (umów) między j.s.t.</t>
  </si>
  <si>
    <t>0690</t>
  </si>
  <si>
    <t>0920</t>
  </si>
  <si>
    <t>0970</t>
  </si>
  <si>
    <t xml:space="preserve"> </t>
  </si>
  <si>
    <t>0960</t>
  </si>
  <si>
    <t>Otrzymane spadki, zapisy i darowizny w postaci pieniężnej</t>
  </si>
  <si>
    <t>Wybory do Sejmu i Senatu</t>
  </si>
  <si>
    <t>0910</t>
  </si>
  <si>
    <t xml:space="preserve">Dotacje celowe otrzymane z budżetu państwa na realizację inwestycji i zakupów inwestycyjnych własnych gmin </t>
  </si>
  <si>
    <t>Dotacje otrzymane z funduszy celowych na realizację zadań bieżących jednostek sektora finansów publicznych</t>
  </si>
  <si>
    <t>Dotacje celowe otrzymane z gminy na zadania bieżące realizowane na podstawie porozumień  (umów) między jst</t>
  </si>
  <si>
    <t>Wpływy i wydatki związane z gromadzeniem  środków z opłat produktowych</t>
  </si>
  <si>
    <t>0400</t>
  </si>
  <si>
    <t>Wpływy z opłaty produktowej</t>
  </si>
  <si>
    <t>926</t>
  </si>
  <si>
    <t>92695</t>
  </si>
  <si>
    <t>Wpływy z tytułu pomocy finansowej udzielanej między jst na dofinansowanie własnych zadań inwestycyjnych i zakupów inwestycyjnych</t>
  </si>
  <si>
    <t>Zakup materiałów papierniczych do sprzętu drukarskiego i urządzeń kseroograficznych</t>
  </si>
  <si>
    <t>Zakup akcesoriów komputerowych, w tym programów i licencji</t>
  </si>
  <si>
    <t>Opłaty za administrowanie i czynsze za budynki, lokale i pomieszczenia garażowe</t>
  </si>
  <si>
    <t>Różne jednostki obsługi gospodarki mieszkaniowej</t>
  </si>
  <si>
    <t>Koszty postępowania sądowego i prokuratorskiego</t>
  </si>
  <si>
    <t>Opłaty z tytułuzakupu usług telekomunikacyjnych telefonii stacjonarnej</t>
  </si>
  <si>
    <t>Szkolenia pracowników niebędących zcłonkami korpusu służby cywilnej</t>
  </si>
  <si>
    <t>Opłaty z tytułuzakupu usług telekomunikacyjnych telefonii komórkowej</t>
  </si>
  <si>
    <t>Szkolenia pracowników niebędących członkami korpusu służby cywilnej</t>
  </si>
  <si>
    <t>Opłaty z tytułu zakupu usług telekomunikacyjnych telefonii stacjonarnej</t>
  </si>
  <si>
    <t>Rozliczenia z bankami związane  z obsługą długu publicznego</t>
  </si>
  <si>
    <t>Wpłaty jednostek na fundusz celowy</t>
  </si>
  <si>
    <t>Inne formy pomocy dla uczniów</t>
  </si>
  <si>
    <t>Zakłady gospodarki komunalnej</t>
  </si>
  <si>
    <t>Dotacja z budżetu dla zakładu budżetowego na pierwsze wyposażenie w środki obrotowe</t>
  </si>
  <si>
    <t>Dotacje celowe z budżetu na finansowanie lub dofinansowaniw kosztów realizacji inwestycji  i zakupów inwestycyjnych zakładów budżetowych</t>
  </si>
  <si>
    <t>Zakup leków, materiałów medycznych i produktów biobójczych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</si>
</sst>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_z_ł;&quot;-&quot;#,##0_ _z_ł"/>
    <numFmt numFmtId="165" formatCode="00\-000"/>
    <numFmt numFmtId="166" formatCode="0.0%"/>
  </numFmts>
  <fonts count="45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 CE"/>
      <family val="0"/>
    </font>
    <font>
      <sz val="16"/>
      <name val="Arial"/>
      <family val="2"/>
    </font>
    <font>
      <b/>
      <sz val="1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dashDotDot"/>
      <bottom>
        <color indexed="63"/>
      </bottom>
    </border>
    <border>
      <left style="dotted"/>
      <right style="thin"/>
      <top style="dashDotDot"/>
      <bottom>
        <color indexed="63"/>
      </bottom>
    </border>
    <border>
      <left style="thin"/>
      <right>
        <color indexed="63"/>
      </right>
      <top style="dashDotDot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ashDotDot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ashDotDot"/>
    </border>
    <border>
      <left style="medium"/>
      <right style="thin"/>
      <top>
        <color indexed="63"/>
      </top>
      <bottom style="dashDotDot"/>
    </border>
    <border>
      <left style="thin"/>
      <right style="dotted"/>
      <top>
        <color indexed="63"/>
      </top>
      <bottom style="dashDotDot"/>
    </border>
    <border>
      <left style="thin"/>
      <right style="medium"/>
      <top style="dashDotDot"/>
      <bottom>
        <color indexed="63"/>
      </bottom>
    </border>
    <border>
      <left>
        <color indexed="63"/>
      </left>
      <right style="thin"/>
      <top style="dashDotDot"/>
      <bottom>
        <color indexed="63"/>
      </bottom>
    </border>
    <border>
      <left style="thin"/>
      <right style="dotted"/>
      <top style="dashDotDot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thin"/>
      <right style="dotted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ashed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ashDotDot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 style="dashDotDot"/>
      <bottom>
        <color indexed="63"/>
      </bottom>
    </border>
    <border>
      <left style="dashed"/>
      <right style="thin"/>
      <top>
        <color indexed="63"/>
      </top>
      <bottom style="medium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thin"/>
      <right style="dotted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tted"/>
      <right style="thin"/>
      <top style="double"/>
      <bottom style="medium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tted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DashDotDot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DashDotDot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DashDotDot"/>
      <top style="thin"/>
      <bottom style="thin"/>
    </border>
    <border>
      <left style="thin"/>
      <right style="dotted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DashDotDot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DashDotDot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dashDotDot"/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dotted"/>
      <right>
        <color indexed="63"/>
      </right>
      <top>
        <color indexed="63"/>
      </top>
      <bottom style="dashDotDot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tted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DashDotDot"/>
      <top style="thin"/>
      <bottom style="double"/>
    </border>
    <border>
      <left style="mediumDashDotDot"/>
      <right style="thin"/>
      <top style="thin"/>
      <bottom style="double"/>
    </border>
    <border>
      <left style="dotted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medium"/>
    </border>
    <border>
      <left style="thin"/>
      <right style="thin"/>
      <top style="double"/>
      <bottom style="dashDotDot"/>
    </border>
    <border>
      <left>
        <color indexed="63"/>
      </left>
      <right style="thin"/>
      <top style="double"/>
      <bottom style="dashDotDot"/>
    </border>
    <border>
      <left style="thin"/>
      <right style="medium"/>
      <top style="double"/>
      <bottom style="dashDotDot"/>
    </border>
    <border>
      <left>
        <color indexed="63"/>
      </left>
      <right>
        <color indexed="63"/>
      </right>
      <top style="double"/>
      <bottom style="dashDotDot"/>
    </border>
    <border>
      <left style="dotted"/>
      <right>
        <color indexed="63"/>
      </right>
      <top style="double"/>
      <bottom style="dashDotDot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>
        <color indexed="63"/>
      </left>
      <right style="dotted"/>
      <top style="double"/>
      <bottom style="medium"/>
    </border>
    <border>
      <left style="thin"/>
      <right style="mediumDashDotDot"/>
      <top style="double"/>
      <bottom>
        <color indexed="63"/>
      </bottom>
    </border>
    <border>
      <left style="mediumDashDotDot"/>
      <right style="thin"/>
      <top style="double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DashDotDot"/>
      <top style="double"/>
      <bottom style="thin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9" fontId="1" fillId="0" borderId="0" xfId="0" applyNumberFormat="1" applyFont="1" applyAlignment="1">
      <alignment/>
    </xf>
    <xf numFmtId="1" fontId="1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" fontId="1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9" fontId="5" fillId="0" borderId="22" xfId="0" applyNumberFormat="1" applyFont="1" applyBorder="1" applyAlignment="1">
      <alignment vertical="center"/>
    </xf>
    <xf numFmtId="0" fontId="5" fillId="0" borderId="21" xfId="0" applyFont="1" applyBorder="1" applyAlignment="1">
      <alignment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9" fontId="5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" fontId="5" fillId="0" borderId="19" xfId="0" applyNumberFormat="1" applyFont="1" applyBorder="1" applyAlignment="1">
      <alignment horizontal="right" wrapText="1"/>
    </xf>
    <xf numFmtId="9" fontId="5" fillId="0" borderId="29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4" fontId="5" fillId="0" borderId="32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9" fontId="5" fillId="0" borderId="31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1" fontId="5" fillId="0" borderId="19" xfId="0" applyNumberFormat="1" applyFont="1" applyBorder="1" applyAlignment="1">
      <alignment horizontal="center" vertical="top"/>
    </xf>
    <xf numFmtId="0" fontId="5" fillId="0" borderId="19" xfId="0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9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4" fontId="5" fillId="0" borderId="32" xfId="0" applyNumberFormat="1" applyFont="1" applyBorder="1" applyAlignment="1">
      <alignment horizontal="center"/>
    </xf>
    <xf numFmtId="9" fontId="5" fillId="0" borderId="19" xfId="0" applyNumberFormat="1" applyFont="1" applyBorder="1" applyAlignment="1">
      <alignment horizontal="center"/>
    </xf>
    <xf numFmtId="9" fontId="5" fillId="0" borderId="29" xfId="0" applyNumberFormat="1" applyFont="1" applyBorder="1" applyAlignment="1">
      <alignment horizontal="right"/>
    </xf>
    <xf numFmtId="4" fontId="5" fillId="0" borderId="30" xfId="0" applyNumberFormat="1" applyFont="1" applyBorder="1" applyAlignment="1">
      <alignment horizontal="right"/>
    </xf>
    <xf numFmtId="9" fontId="5" fillId="0" borderId="31" xfId="0" applyNumberFormat="1" applyFont="1" applyBorder="1" applyAlignment="1">
      <alignment horizontal="right"/>
    </xf>
    <xf numFmtId="9" fontId="5" fillId="0" borderId="19" xfId="0" applyNumberFormat="1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" fontId="5" fillId="0" borderId="33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5" fillId="0" borderId="34" xfId="0" applyNumberFormat="1" applyFont="1" applyBorder="1" applyAlignment="1">
      <alignment horizontal="center"/>
    </xf>
    <xf numFmtId="9" fontId="5" fillId="0" borderId="35" xfId="0" applyNumberFormat="1" applyFont="1" applyBorder="1" applyAlignment="1">
      <alignment horizontal="center"/>
    </xf>
    <xf numFmtId="9" fontId="5" fillId="0" borderId="36" xfId="0" applyNumberFormat="1" applyFont="1" applyBorder="1" applyAlignment="1">
      <alignment horizontal="center"/>
    </xf>
    <xf numFmtId="9" fontId="5" fillId="0" borderId="37" xfId="0" applyNumberFormat="1" applyFont="1" applyBorder="1" applyAlignment="1">
      <alignment horizontal="right"/>
    </xf>
    <xf numFmtId="0" fontId="5" fillId="0" borderId="19" xfId="0" applyFont="1" applyBorder="1" applyAlignment="1">
      <alignment/>
    </xf>
    <xf numFmtId="10" fontId="5" fillId="0" borderId="0" xfId="0" applyNumberFormat="1" applyFont="1" applyAlignment="1">
      <alignment/>
    </xf>
    <xf numFmtId="0" fontId="5" fillId="0" borderId="38" xfId="0" applyFont="1" applyBorder="1" applyAlignment="1">
      <alignment/>
    </xf>
    <xf numFmtId="0" fontId="5" fillId="0" borderId="19" xfId="0" applyFont="1" applyBorder="1" applyAlignment="1">
      <alignment horizontal="left"/>
    </xf>
    <xf numFmtId="4" fontId="5" fillId="0" borderId="39" xfId="0" applyNumberFormat="1" applyFont="1" applyBorder="1" applyAlignment="1">
      <alignment horizontal="right"/>
    </xf>
    <xf numFmtId="9" fontId="5" fillId="0" borderId="40" xfId="0" applyNumberFormat="1" applyFont="1" applyBorder="1" applyAlignment="1">
      <alignment horizontal="right"/>
    </xf>
    <xf numFmtId="4" fontId="5" fillId="0" borderId="41" xfId="0" applyNumberFormat="1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19" xfId="0" applyFont="1" applyBorder="1" applyAlignment="1">
      <alignment horizontal="right" vertical="center" wrapText="1"/>
    </xf>
    <xf numFmtId="9" fontId="5" fillId="0" borderId="42" xfId="0" applyNumberFormat="1" applyFont="1" applyBorder="1" applyAlignment="1">
      <alignment horizontal="right"/>
    </xf>
    <xf numFmtId="9" fontId="5" fillId="0" borderId="43" xfId="0" applyNumberFormat="1" applyFont="1" applyBorder="1" applyAlignment="1">
      <alignment horizontal="center"/>
    </xf>
    <xf numFmtId="4" fontId="5" fillId="0" borderId="44" xfId="0" applyNumberFormat="1" applyFont="1" applyBorder="1" applyAlignment="1">
      <alignment horizontal="center"/>
    </xf>
    <xf numFmtId="9" fontId="5" fillId="0" borderId="45" xfId="0" applyNumberFormat="1" applyFont="1" applyBorder="1" applyAlignment="1">
      <alignment horizontal="center"/>
    </xf>
    <xf numFmtId="4" fontId="5" fillId="0" borderId="44" xfId="0" applyNumberFormat="1" applyFont="1" applyBorder="1" applyAlignment="1">
      <alignment horizontal="right"/>
    </xf>
    <xf numFmtId="4" fontId="5" fillId="0" borderId="33" xfId="0" applyNumberFormat="1" applyFont="1" applyBorder="1" applyAlignment="1">
      <alignment horizontal="right"/>
    </xf>
    <xf numFmtId="9" fontId="5" fillId="0" borderId="35" xfId="0" applyNumberFormat="1" applyFont="1" applyBorder="1" applyAlignment="1">
      <alignment horizontal="right"/>
    </xf>
    <xf numFmtId="4" fontId="5" fillId="0" borderId="34" xfId="0" applyNumberFormat="1" applyFont="1" applyBorder="1" applyAlignment="1">
      <alignment horizontal="right"/>
    </xf>
    <xf numFmtId="9" fontId="5" fillId="0" borderId="33" xfId="0" applyNumberFormat="1" applyFont="1" applyBorder="1" applyAlignment="1">
      <alignment horizontal="right"/>
    </xf>
    <xf numFmtId="9" fontId="5" fillId="0" borderId="46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 vertical="top"/>
    </xf>
    <xf numFmtId="0" fontId="10" fillId="0" borderId="19" xfId="0" applyFont="1" applyBorder="1" applyAlignment="1">
      <alignment horizontal="center"/>
    </xf>
    <xf numFmtId="9" fontId="5" fillId="0" borderId="0" xfId="0" applyNumberFormat="1" applyFont="1" applyBorder="1" applyAlignment="1">
      <alignment horizontal="right"/>
    </xf>
    <xf numFmtId="9" fontId="5" fillId="0" borderId="30" xfId="0" applyNumberFormat="1" applyFont="1" applyBorder="1" applyAlignment="1">
      <alignment horizontal="right"/>
    </xf>
    <xf numFmtId="3" fontId="5" fillId="0" borderId="47" xfId="0" applyNumberFormat="1" applyFont="1" applyBorder="1" applyAlignment="1">
      <alignment horizontal="center"/>
    </xf>
    <xf numFmtId="3" fontId="5" fillId="0" borderId="34" xfId="0" applyNumberFormat="1" applyFont="1" applyBorder="1" applyAlignment="1">
      <alignment horizontal="center"/>
    </xf>
    <xf numFmtId="4" fontId="5" fillId="0" borderId="3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center" wrapText="1"/>
    </xf>
    <xf numFmtId="9" fontId="5" fillId="0" borderId="45" xfId="0" applyNumberFormat="1" applyFont="1" applyBorder="1" applyAlignment="1">
      <alignment horizontal="right"/>
    </xf>
    <xf numFmtId="4" fontId="5" fillId="0" borderId="48" xfId="0" applyNumberFormat="1" applyFont="1" applyBorder="1" applyAlignment="1">
      <alignment horizontal="center"/>
    </xf>
    <xf numFmtId="4" fontId="5" fillId="0" borderId="48" xfId="0" applyNumberFormat="1" applyFont="1" applyBorder="1" applyAlignment="1">
      <alignment/>
    </xf>
    <xf numFmtId="0" fontId="5" fillId="0" borderId="33" xfId="0" applyFont="1" applyBorder="1" applyAlignment="1">
      <alignment/>
    </xf>
    <xf numFmtId="9" fontId="5" fillId="0" borderId="49" xfId="0" applyNumberFormat="1" applyFont="1" applyBorder="1" applyAlignment="1">
      <alignment horizontal="right"/>
    </xf>
    <xf numFmtId="4" fontId="5" fillId="0" borderId="0" xfId="0" applyNumberFormat="1" applyFont="1" applyAlignment="1">
      <alignment/>
    </xf>
    <xf numFmtId="0" fontId="5" fillId="0" borderId="31" xfId="0" applyFont="1" applyBorder="1" applyAlignment="1">
      <alignment horizontal="right"/>
    </xf>
    <xf numFmtId="9" fontId="5" fillId="0" borderId="33" xfId="0" applyNumberFormat="1" applyFont="1" applyBorder="1" applyAlignment="1">
      <alignment horizontal="center"/>
    </xf>
    <xf numFmtId="0" fontId="5" fillId="0" borderId="19" xfId="0" applyFont="1" applyBorder="1" applyAlignment="1">
      <alignment horizontal="left" wrapText="1"/>
    </xf>
    <xf numFmtId="0" fontId="5" fillId="0" borderId="35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9" fontId="5" fillId="0" borderId="43" xfId="0" applyNumberFormat="1" applyFont="1" applyBorder="1" applyAlignment="1">
      <alignment horizontal="right"/>
    </xf>
    <xf numFmtId="0" fontId="5" fillId="0" borderId="50" xfId="0" applyFont="1" applyBorder="1" applyAlignment="1">
      <alignment/>
    </xf>
    <xf numFmtId="0" fontId="5" fillId="0" borderId="36" xfId="0" applyFont="1" applyBorder="1" applyAlignment="1">
      <alignment horizontal="center"/>
    </xf>
    <xf numFmtId="1" fontId="5" fillId="0" borderId="36" xfId="0" applyNumberFormat="1" applyFont="1" applyBorder="1" applyAlignment="1">
      <alignment horizontal="center"/>
    </xf>
    <xf numFmtId="4" fontId="5" fillId="0" borderId="51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1" fontId="5" fillId="0" borderId="33" xfId="0" applyNumberFormat="1" applyFont="1" applyBorder="1" applyAlignment="1">
      <alignment horizontal="center" vertical="top"/>
    </xf>
    <xf numFmtId="0" fontId="10" fillId="0" borderId="50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5" fillId="0" borderId="19" xfId="0" applyFont="1" applyBorder="1" applyAlignment="1">
      <alignment vertical="center" wrapText="1"/>
    </xf>
    <xf numFmtId="9" fontId="5" fillId="0" borderId="52" xfId="0" applyNumberFormat="1" applyFont="1" applyBorder="1" applyAlignment="1">
      <alignment horizontal="center"/>
    </xf>
    <xf numFmtId="4" fontId="5" fillId="0" borderId="53" xfId="0" applyNumberFormat="1" applyFont="1" applyBorder="1" applyAlignment="1">
      <alignment horizontal="center"/>
    </xf>
    <xf numFmtId="9" fontId="5" fillId="0" borderId="40" xfId="0" applyNumberFormat="1" applyFont="1" applyBorder="1" applyAlignment="1">
      <alignment horizontal="center"/>
    </xf>
    <xf numFmtId="9" fontId="5" fillId="0" borderId="54" xfId="0" applyNumberFormat="1" applyFont="1" applyBorder="1" applyAlignment="1">
      <alignment horizontal="right"/>
    </xf>
    <xf numFmtId="4" fontId="5" fillId="0" borderId="55" xfId="0" applyNumberFormat="1" applyFont="1" applyBorder="1" applyAlignment="1">
      <alignment horizontal="center"/>
    </xf>
    <xf numFmtId="1" fontId="10" fillId="0" borderId="19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center"/>
    </xf>
    <xf numFmtId="9" fontId="10" fillId="0" borderId="29" xfId="0" applyNumberFormat="1" applyFont="1" applyBorder="1" applyAlignment="1">
      <alignment horizontal="center"/>
    </xf>
    <xf numFmtId="4" fontId="10" fillId="0" borderId="30" xfId="0" applyNumberFormat="1" applyFont="1" applyBorder="1" applyAlignment="1">
      <alignment horizontal="center"/>
    </xf>
    <xf numFmtId="4" fontId="10" fillId="0" borderId="55" xfId="0" applyNumberFormat="1" applyFont="1" applyBorder="1" applyAlignment="1">
      <alignment horizontal="center"/>
    </xf>
    <xf numFmtId="4" fontId="10" fillId="0" borderId="32" xfId="0" applyNumberFormat="1" applyFont="1" applyBorder="1" applyAlignment="1">
      <alignment horizontal="center"/>
    </xf>
    <xf numFmtId="9" fontId="10" fillId="0" borderId="19" xfId="0" applyNumberFormat="1" applyFont="1" applyBorder="1" applyAlignment="1">
      <alignment horizontal="center"/>
    </xf>
    <xf numFmtId="4" fontId="5" fillId="0" borderId="56" xfId="0" applyNumberFormat="1" applyFont="1" applyBorder="1" applyAlignment="1">
      <alignment horizontal="right"/>
    </xf>
    <xf numFmtId="4" fontId="10" fillId="0" borderId="33" xfId="0" applyNumberFormat="1" applyFont="1" applyBorder="1" applyAlignment="1">
      <alignment horizontal="right"/>
    </xf>
    <xf numFmtId="4" fontId="5" fillId="0" borderId="55" xfId="0" applyNumberFormat="1" applyFont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1" fontId="5" fillId="0" borderId="19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4" fontId="5" fillId="0" borderId="56" xfId="0" applyNumberFormat="1" applyFont="1" applyBorder="1" applyAlignment="1">
      <alignment horizontal="center"/>
    </xf>
    <xf numFmtId="4" fontId="5" fillId="0" borderId="57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0" fontId="10" fillId="0" borderId="58" xfId="0" applyFont="1" applyBorder="1" applyAlignment="1">
      <alignment horizontal="center" vertical="center"/>
    </xf>
    <xf numFmtId="1" fontId="10" fillId="0" borderId="58" xfId="0" applyNumberFormat="1" applyFont="1" applyBorder="1" applyAlignment="1">
      <alignment horizontal="center" vertical="center"/>
    </xf>
    <xf numFmtId="9" fontId="10" fillId="0" borderId="59" xfId="0" applyNumberFormat="1" applyFont="1" applyBorder="1" applyAlignment="1">
      <alignment horizontal="center" vertical="center"/>
    </xf>
    <xf numFmtId="9" fontId="10" fillId="0" borderId="5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10" fillId="0" borderId="58" xfId="0" applyNumberFormat="1" applyFont="1" applyBorder="1" applyAlignment="1">
      <alignment horizontal="right" vertical="center"/>
    </xf>
    <xf numFmtId="49" fontId="10" fillId="0" borderId="24" xfId="0" applyNumberFormat="1" applyFont="1" applyBorder="1" applyAlignment="1">
      <alignment horizontal="center" vertical="center"/>
    </xf>
    <xf numFmtId="1" fontId="10" fillId="0" borderId="24" xfId="0" applyNumberFormat="1" applyFont="1" applyBorder="1" applyAlignment="1">
      <alignment horizontal="center" vertical="center"/>
    </xf>
    <xf numFmtId="4" fontId="10" fillId="0" borderId="24" xfId="0" applyNumberFormat="1" applyFont="1" applyBorder="1" applyAlignment="1">
      <alignment horizontal="center" vertical="center" wrapText="1"/>
    </xf>
    <xf numFmtId="9" fontId="10" fillId="0" borderId="25" xfId="0" applyNumberFormat="1" applyFont="1" applyBorder="1" applyAlignment="1">
      <alignment horizontal="center" vertical="center"/>
    </xf>
    <xf numFmtId="4" fontId="10" fillId="0" borderId="26" xfId="0" applyNumberFormat="1" applyFont="1" applyBorder="1" applyAlignment="1">
      <alignment horizontal="center" vertical="center"/>
    </xf>
    <xf numFmtId="9" fontId="5" fillId="0" borderId="60" xfId="0" applyNumberFormat="1" applyFont="1" applyBorder="1" applyAlignment="1">
      <alignment horizontal="center" vertical="center"/>
    </xf>
    <xf numFmtId="4" fontId="10" fillId="0" borderId="28" xfId="0" applyNumberFormat="1" applyFont="1" applyBorder="1" applyAlignment="1">
      <alignment horizontal="center" vertical="center"/>
    </xf>
    <xf numFmtId="4" fontId="10" fillId="0" borderId="24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center" wrapText="1"/>
    </xf>
    <xf numFmtId="3" fontId="10" fillId="0" borderId="24" xfId="0" applyNumberFormat="1" applyFont="1" applyBorder="1" applyAlignment="1">
      <alignment horizontal="center" vertical="center"/>
    </xf>
    <xf numFmtId="9" fontId="10" fillId="0" borderId="27" xfId="0" applyNumberFormat="1" applyFont="1" applyBorder="1" applyAlignment="1">
      <alignment horizontal="center" vertical="center"/>
    </xf>
    <xf numFmtId="9" fontId="10" fillId="0" borderId="2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9" fontId="10" fillId="0" borderId="24" xfId="54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9" fontId="10" fillId="0" borderId="25" xfId="54" applyNumberFormat="1" applyFont="1" applyBorder="1" applyAlignment="1">
      <alignment horizontal="center" vertical="center"/>
    </xf>
    <xf numFmtId="9" fontId="10" fillId="0" borderId="60" xfId="0" applyNumberFormat="1" applyFont="1" applyBorder="1" applyAlignment="1">
      <alignment horizontal="center" vertical="center"/>
    </xf>
    <xf numFmtId="9" fontId="10" fillId="0" borderId="25" xfId="0" applyNumberFormat="1" applyFont="1" applyBorder="1" applyAlignment="1">
      <alignment horizontal="center" vertical="center" wrapText="1"/>
    </xf>
    <xf numFmtId="4" fontId="10" fillId="0" borderId="26" xfId="0" applyNumberFormat="1" applyFont="1" applyBorder="1" applyAlignment="1">
      <alignment horizontal="center" vertical="center" wrapText="1"/>
    </xf>
    <xf numFmtId="9" fontId="10" fillId="0" borderId="60" xfId="0" applyNumberFormat="1" applyFont="1" applyBorder="1" applyAlignment="1">
      <alignment horizontal="center" vertical="center" wrapText="1"/>
    </xf>
    <xf numFmtId="9" fontId="10" fillId="0" borderId="27" xfId="0" applyNumberFormat="1" applyFont="1" applyBorder="1" applyAlignment="1">
      <alignment horizontal="center" vertical="center" wrapText="1"/>
    </xf>
    <xf numFmtId="4" fontId="10" fillId="0" borderId="28" xfId="0" applyNumberFormat="1" applyFont="1" applyBorder="1" applyAlignment="1">
      <alignment horizontal="center" vertical="center" wrapText="1"/>
    </xf>
    <xf numFmtId="9" fontId="10" fillId="0" borderId="2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10" fillId="0" borderId="2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9" fontId="5" fillId="0" borderId="60" xfId="0" applyNumberFormat="1" applyFont="1" applyBorder="1" applyAlignment="1">
      <alignment horizontal="center" vertical="center" wrapText="1"/>
    </xf>
    <xf numFmtId="0" fontId="5" fillId="0" borderId="61" xfId="0" applyFont="1" applyBorder="1" applyAlignment="1">
      <alignment/>
    </xf>
    <xf numFmtId="0" fontId="5" fillId="0" borderId="61" xfId="0" applyFont="1" applyBorder="1" applyAlignment="1">
      <alignment horizontal="center"/>
    </xf>
    <xf numFmtId="49" fontId="5" fillId="0" borderId="61" xfId="0" applyNumberFormat="1" applyFont="1" applyBorder="1" applyAlignment="1">
      <alignment horizontal="center" vertical="top"/>
    </xf>
    <xf numFmtId="0" fontId="5" fillId="0" borderId="61" xfId="0" applyFont="1" applyBorder="1" applyAlignment="1">
      <alignment horizontal="left" vertical="top" wrapText="1"/>
    </xf>
    <xf numFmtId="4" fontId="5" fillId="0" borderId="61" xfId="0" applyNumberFormat="1" applyFont="1" applyBorder="1" applyAlignment="1">
      <alignment horizontal="right"/>
    </xf>
    <xf numFmtId="9" fontId="5" fillId="0" borderId="62" xfId="0" applyNumberFormat="1" applyFont="1" applyBorder="1" applyAlignment="1">
      <alignment horizontal="right"/>
    </xf>
    <xf numFmtId="4" fontId="5" fillId="0" borderId="63" xfId="0" applyNumberFormat="1" applyFont="1" applyBorder="1" applyAlignment="1">
      <alignment horizontal="right"/>
    </xf>
    <xf numFmtId="9" fontId="5" fillId="0" borderId="64" xfId="0" applyNumberFormat="1" applyFont="1" applyBorder="1" applyAlignment="1">
      <alignment horizontal="right"/>
    </xf>
    <xf numFmtId="9" fontId="5" fillId="0" borderId="65" xfId="0" applyNumberFormat="1" applyFont="1" applyBorder="1" applyAlignment="1">
      <alignment horizontal="right"/>
    </xf>
    <xf numFmtId="4" fontId="5" fillId="0" borderId="66" xfId="0" applyNumberFormat="1" applyFont="1" applyBorder="1" applyAlignment="1">
      <alignment horizontal="right"/>
    </xf>
    <xf numFmtId="9" fontId="5" fillId="0" borderId="61" xfId="0" applyNumberFormat="1" applyFont="1" applyBorder="1" applyAlignment="1">
      <alignment horizontal="right"/>
    </xf>
    <xf numFmtId="0" fontId="5" fillId="0" borderId="67" xfId="0" applyFont="1" applyBorder="1" applyAlignment="1">
      <alignment/>
    </xf>
    <xf numFmtId="0" fontId="5" fillId="0" borderId="67" xfId="0" applyFont="1" applyBorder="1" applyAlignment="1">
      <alignment horizontal="center"/>
    </xf>
    <xf numFmtId="0" fontId="5" fillId="0" borderId="67" xfId="0" applyFont="1" applyBorder="1" applyAlignment="1">
      <alignment horizontal="left"/>
    </xf>
    <xf numFmtId="4" fontId="5" fillId="0" borderId="67" xfId="0" applyNumberFormat="1" applyFont="1" applyBorder="1" applyAlignment="1">
      <alignment horizontal="right"/>
    </xf>
    <xf numFmtId="4" fontId="5" fillId="0" borderId="68" xfId="0" applyNumberFormat="1" applyFont="1" applyBorder="1" applyAlignment="1">
      <alignment horizontal="right"/>
    </xf>
    <xf numFmtId="9" fontId="5" fillId="0" borderId="69" xfId="0" applyNumberFormat="1" applyFont="1" applyBorder="1" applyAlignment="1">
      <alignment horizontal="right"/>
    </xf>
    <xf numFmtId="4" fontId="5" fillId="0" borderId="70" xfId="0" applyNumberFormat="1" applyFont="1" applyBorder="1" applyAlignment="1">
      <alignment horizontal="right"/>
    </xf>
    <xf numFmtId="1" fontId="5" fillId="0" borderId="67" xfId="0" applyNumberFormat="1" applyFont="1" applyBorder="1" applyAlignment="1">
      <alignment horizontal="center" vertical="top"/>
    </xf>
    <xf numFmtId="0" fontId="5" fillId="0" borderId="67" xfId="0" applyFont="1" applyBorder="1" applyAlignment="1">
      <alignment horizontal="left" vertical="center" wrapText="1"/>
    </xf>
    <xf numFmtId="9" fontId="5" fillId="0" borderId="71" xfId="0" applyNumberFormat="1" applyFont="1" applyBorder="1" applyAlignment="1">
      <alignment horizontal="right"/>
    </xf>
    <xf numFmtId="0" fontId="5" fillId="0" borderId="72" xfId="0" applyFont="1" applyBorder="1" applyAlignment="1">
      <alignment horizontal="center"/>
    </xf>
    <xf numFmtId="0" fontId="5" fillId="0" borderId="72" xfId="0" applyFont="1" applyBorder="1" applyAlignment="1">
      <alignment horizontal="center" vertical="center" wrapText="1"/>
    </xf>
    <xf numFmtId="49" fontId="10" fillId="0" borderId="73" xfId="0" applyNumberFormat="1" applyFont="1" applyBorder="1" applyAlignment="1">
      <alignment horizontal="center" vertical="center"/>
    </xf>
    <xf numFmtId="1" fontId="10" fillId="0" borderId="73" xfId="0" applyNumberFormat="1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4" fontId="10" fillId="0" borderId="73" xfId="0" applyNumberFormat="1" applyFont="1" applyBorder="1" applyAlignment="1">
      <alignment horizontal="center" vertical="center" wrapText="1"/>
    </xf>
    <xf numFmtId="9" fontId="10" fillId="0" borderId="74" xfId="0" applyNumberFormat="1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4" fontId="10" fillId="0" borderId="77" xfId="0" applyNumberFormat="1" applyFont="1" applyBorder="1" applyAlignment="1">
      <alignment horizontal="center" vertical="center"/>
    </xf>
    <xf numFmtId="4" fontId="10" fillId="0" borderId="73" xfId="0" applyNumberFormat="1" applyFont="1" applyBorder="1" applyAlignment="1">
      <alignment horizontal="center" vertical="center"/>
    </xf>
    <xf numFmtId="9" fontId="10" fillId="0" borderId="76" xfId="0" applyNumberFormat="1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/>
    </xf>
    <xf numFmtId="1" fontId="1" fillId="0" borderId="78" xfId="0" applyNumberFormat="1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1" fontId="5" fillId="0" borderId="67" xfId="0" applyNumberFormat="1" applyFont="1" applyBorder="1" applyAlignment="1">
      <alignment horizontal="center"/>
    </xf>
    <xf numFmtId="4" fontId="5" fillId="0" borderId="70" xfId="0" applyNumberFormat="1" applyFont="1" applyBorder="1" applyAlignment="1">
      <alignment horizontal="center"/>
    </xf>
    <xf numFmtId="4" fontId="5" fillId="0" borderId="67" xfId="0" applyNumberFormat="1" applyFont="1" applyBorder="1" applyAlignment="1">
      <alignment horizontal="center"/>
    </xf>
    <xf numFmtId="9" fontId="5" fillId="0" borderId="69" xfId="0" applyNumberFormat="1" applyFont="1" applyBorder="1" applyAlignment="1">
      <alignment horizontal="center"/>
    </xf>
    <xf numFmtId="9" fontId="5" fillId="0" borderId="67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9" fontId="5" fillId="0" borderId="29" xfId="54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4" fontId="5" fillId="0" borderId="87" xfId="0" applyNumberFormat="1" applyFont="1" applyBorder="1" applyAlignment="1">
      <alignment horizontal="center"/>
    </xf>
    <xf numFmtId="9" fontId="5" fillId="0" borderId="0" xfId="54" applyFont="1" applyBorder="1" applyAlignment="1">
      <alignment horizontal="center"/>
    </xf>
    <xf numFmtId="3" fontId="5" fillId="0" borderId="88" xfId="0" applyNumberFormat="1" applyFont="1" applyBorder="1" applyAlignment="1">
      <alignment horizontal="center"/>
    </xf>
    <xf numFmtId="0" fontId="5" fillId="0" borderId="89" xfId="0" applyFont="1" applyBorder="1" applyAlignment="1">
      <alignment/>
    </xf>
    <xf numFmtId="3" fontId="5" fillId="0" borderId="90" xfId="0" applyNumberFormat="1" applyFont="1" applyBorder="1" applyAlignment="1">
      <alignment/>
    </xf>
    <xf numFmtId="166" fontId="5" fillId="0" borderId="91" xfId="0" applyNumberFormat="1" applyFont="1" applyBorder="1" applyAlignment="1">
      <alignment/>
    </xf>
    <xf numFmtId="3" fontId="5" fillId="0" borderId="92" xfId="0" applyNumberFormat="1" applyFont="1" applyBorder="1" applyAlignment="1">
      <alignment/>
    </xf>
    <xf numFmtId="166" fontId="5" fillId="0" borderId="93" xfId="0" applyNumberFormat="1" applyFont="1" applyBorder="1" applyAlignment="1">
      <alignment/>
    </xf>
    <xf numFmtId="3" fontId="5" fillId="0" borderId="94" xfId="0" applyNumberFormat="1" applyFont="1" applyBorder="1" applyAlignment="1">
      <alignment/>
    </xf>
    <xf numFmtId="166" fontId="5" fillId="0" borderId="95" xfId="0" applyNumberFormat="1" applyFont="1" applyBorder="1" applyAlignment="1">
      <alignment/>
    </xf>
    <xf numFmtId="166" fontId="5" fillId="0" borderId="67" xfId="0" applyNumberFormat="1" applyFont="1" applyBorder="1" applyAlignment="1">
      <alignment/>
    </xf>
    <xf numFmtId="9" fontId="5" fillId="0" borderId="29" xfId="54" applyFont="1" applyBorder="1" applyAlignment="1">
      <alignment horizontal="right"/>
    </xf>
    <xf numFmtId="4" fontId="5" fillId="0" borderId="87" xfId="0" applyNumberFormat="1" applyFont="1" applyBorder="1" applyAlignment="1">
      <alignment horizontal="right"/>
    </xf>
    <xf numFmtId="9" fontId="5" fillId="0" borderId="0" xfId="54" applyFont="1" applyBorder="1" applyAlignment="1">
      <alignment horizontal="right"/>
    </xf>
    <xf numFmtId="3" fontId="5" fillId="0" borderId="72" xfId="0" applyNumberFormat="1" applyFont="1" applyBorder="1" applyAlignment="1">
      <alignment horizontal="center"/>
    </xf>
    <xf numFmtId="0" fontId="5" fillId="0" borderId="96" xfId="0" applyFont="1" applyBorder="1" applyAlignment="1">
      <alignment/>
    </xf>
    <xf numFmtId="3" fontId="5" fillId="0" borderId="97" xfId="0" applyNumberFormat="1" applyFont="1" applyBorder="1" applyAlignment="1">
      <alignment/>
    </xf>
    <xf numFmtId="166" fontId="5" fillId="0" borderId="98" xfId="0" applyNumberFormat="1" applyFont="1" applyBorder="1" applyAlignment="1">
      <alignment/>
    </xf>
    <xf numFmtId="3" fontId="5" fillId="0" borderId="99" xfId="0" applyNumberFormat="1" applyFont="1" applyBorder="1" applyAlignment="1">
      <alignment/>
    </xf>
    <xf numFmtId="166" fontId="5" fillId="0" borderId="100" xfId="0" applyNumberFormat="1" applyFont="1" applyBorder="1" applyAlignment="1">
      <alignment/>
    </xf>
    <xf numFmtId="166" fontId="5" fillId="0" borderId="72" xfId="0" applyNumberFormat="1" applyFont="1" applyBorder="1" applyAlignment="1">
      <alignment/>
    </xf>
    <xf numFmtId="49" fontId="5" fillId="0" borderId="33" xfId="0" applyNumberFormat="1" applyFont="1" applyBorder="1" applyAlignment="1">
      <alignment horizontal="center"/>
    </xf>
    <xf numFmtId="9" fontId="5" fillId="0" borderId="43" xfId="54" applyFont="1" applyBorder="1" applyAlignment="1">
      <alignment horizontal="center"/>
    </xf>
    <xf numFmtId="9" fontId="5" fillId="0" borderId="48" xfId="0" applyNumberFormat="1" applyFont="1" applyBorder="1" applyAlignment="1">
      <alignment horizontal="center"/>
    </xf>
    <xf numFmtId="4" fontId="5" fillId="0" borderId="47" xfId="0" applyNumberFormat="1" applyFont="1" applyBorder="1" applyAlignment="1">
      <alignment horizontal="center"/>
    </xf>
    <xf numFmtId="9" fontId="5" fillId="0" borderId="48" xfId="54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4" fontId="5" fillId="0" borderId="87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9" fontId="5" fillId="0" borderId="101" xfId="54" applyFont="1" applyBorder="1" applyAlignment="1">
      <alignment/>
    </xf>
    <xf numFmtId="9" fontId="5" fillId="0" borderId="46" xfId="54" applyFont="1" applyBorder="1" applyAlignment="1">
      <alignment/>
    </xf>
    <xf numFmtId="3" fontId="5" fillId="0" borderId="102" xfId="0" applyNumberFormat="1" applyFont="1" applyBorder="1" applyAlignment="1">
      <alignment horizontal="center"/>
    </xf>
    <xf numFmtId="0" fontId="5" fillId="0" borderId="103" xfId="0" applyFont="1" applyBorder="1" applyAlignment="1">
      <alignment wrapText="1"/>
    </xf>
    <xf numFmtId="3" fontId="5" fillId="0" borderId="104" xfId="0" applyNumberFormat="1" applyFont="1" applyBorder="1" applyAlignment="1">
      <alignment/>
    </xf>
    <xf numFmtId="166" fontId="5" fillId="0" borderId="105" xfId="0" applyNumberFormat="1" applyFont="1" applyBorder="1" applyAlignment="1">
      <alignment/>
    </xf>
    <xf numFmtId="3" fontId="5" fillId="0" borderId="106" xfId="0" applyNumberFormat="1" applyFont="1" applyBorder="1" applyAlignment="1">
      <alignment/>
    </xf>
    <xf numFmtId="166" fontId="5" fillId="0" borderId="107" xfId="0" applyNumberFormat="1" applyFont="1" applyBorder="1" applyAlignment="1">
      <alignment/>
    </xf>
    <xf numFmtId="166" fontId="5" fillId="0" borderId="102" xfId="0" applyNumberFormat="1" applyFont="1" applyBorder="1" applyAlignment="1">
      <alignment/>
    </xf>
    <xf numFmtId="9" fontId="5" fillId="0" borderId="42" xfId="54" applyFont="1" applyBorder="1" applyAlignment="1">
      <alignment/>
    </xf>
    <xf numFmtId="0" fontId="5" fillId="0" borderId="103" xfId="0" applyFont="1" applyBorder="1" applyAlignment="1">
      <alignment/>
    </xf>
    <xf numFmtId="4" fontId="5" fillId="0" borderId="47" xfId="0" applyNumberFormat="1" applyFont="1" applyBorder="1" applyAlignment="1">
      <alignment/>
    </xf>
    <xf numFmtId="4" fontId="5" fillId="0" borderId="33" xfId="0" applyNumberFormat="1" applyFont="1" applyBorder="1" applyAlignment="1">
      <alignment/>
    </xf>
    <xf numFmtId="9" fontId="5" fillId="0" borderId="48" xfId="54" applyFont="1" applyBorder="1" applyAlignment="1">
      <alignment/>
    </xf>
    <xf numFmtId="9" fontId="5" fillId="0" borderId="33" xfId="0" applyNumberFormat="1" applyFont="1" applyBorder="1" applyAlignment="1">
      <alignment/>
    </xf>
    <xf numFmtId="9" fontId="5" fillId="0" borderId="0" xfId="54" applyFont="1" applyBorder="1" applyAlignment="1">
      <alignment/>
    </xf>
    <xf numFmtId="9" fontId="5" fillId="0" borderId="19" xfId="0" applyNumberFormat="1" applyFont="1" applyBorder="1" applyAlignment="1">
      <alignment/>
    </xf>
    <xf numFmtId="0" fontId="5" fillId="0" borderId="31" xfId="0" applyFont="1" applyBorder="1" applyAlignment="1">
      <alignment wrapText="1"/>
    </xf>
    <xf numFmtId="3" fontId="5" fillId="0" borderId="108" xfId="0" applyNumberFormat="1" applyFont="1" applyBorder="1" applyAlignment="1">
      <alignment/>
    </xf>
    <xf numFmtId="166" fontId="5" fillId="0" borderId="29" xfId="0" applyNumberFormat="1" applyFont="1" applyBorder="1" applyAlignment="1">
      <alignment/>
    </xf>
    <xf numFmtId="166" fontId="5" fillId="0" borderId="109" xfId="0" applyNumberFormat="1" applyFont="1" applyBorder="1" applyAlignment="1">
      <alignment/>
    </xf>
    <xf numFmtId="166" fontId="5" fillId="0" borderId="19" xfId="0" applyNumberFormat="1" applyFont="1" applyBorder="1" applyAlignment="1">
      <alignment/>
    </xf>
    <xf numFmtId="9" fontId="5" fillId="0" borderId="0" xfId="54" applyFont="1" applyAlignment="1">
      <alignment/>
    </xf>
    <xf numFmtId="3" fontId="5" fillId="0" borderId="67" xfId="0" applyNumberFormat="1" applyFont="1" applyBorder="1" applyAlignment="1">
      <alignment horizontal="center"/>
    </xf>
    <xf numFmtId="0" fontId="5" fillId="0" borderId="69" xfId="0" applyFont="1" applyBorder="1" applyAlignment="1">
      <alignment/>
    </xf>
    <xf numFmtId="3" fontId="5" fillId="0" borderId="110" xfId="0" applyNumberFormat="1" applyFont="1" applyBorder="1" applyAlignment="1">
      <alignment/>
    </xf>
    <xf numFmtId="166" fontId="5" fillId="0" borderId="71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9" fontId="5" fillId="0" borderId="0" xfId="54" applyFont="1" applyAlignment="1">
      <alignment horizontal="center"/>
    </xf>
    <xf numFmtId="4" fontId="5" fillId="0" borderId="30" xfId="0" applyNumberFormat="1" applyFont="1" applyBorder="1" applyAlignment="1">
      <alignment/>
    </xf>
    <xf numFmtId="9" fontId="5" fillId="0" borderId="48" xfId="0" applyNumberFormat="1" applyFont="1" applyBorder="1" applyAlignment="1">
      <alignment horizontal="right"/>
    </xf>
    <xf numFmtId="9" fontId="5" fillId="0" borderId="0" xfId="54" applyFont="1" applyAlignment="1">
      <alignment horizontal="right"/>
    </xf>
    <xf numFmtId="4" fontId="5" fillId="0" borderId="36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81" xfId="0" applyNumberFormat="1" applyFont="1" applyBorder="1" applyAlignment="1">
      <alignment horizontal="center"/>
    </xf>
    <xf numFmtId="9" fontId="5" fillId="0" borderId="0" xfId="0" applyNumberFormat="1" applyFont="1" applyAlignment="1">
      <alignment/>
    </xf>
    <xf numFmtId="9" fontId="5" fillId="0" borderId="46" xfId="0" applyNumberFormat="1" applyFont="1" applyBorder="1" applyAlignment="1">
      <alignment/>
    </xf>
    <xf numFmtId="9" fontId="5" fillId="0" borderId="46" xfId="54" applyFont="1" applyBorder="1" applyAlignment="1">
      <alignment horizontal="right"/>
    </xf>
    <xf numFmtId="3" fontId="5" fillId="0" borderId="31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4" fontId="5" fillId="0" borderId="44" xfId="0" applyNumberFormat="1" applyFont="1" applyBorder="1" applyAlignment="1">
      <alignment/>
    </xf>
    <xf numFmtId="9" fontId="5" fillId="0" borderId="45" xfId="0" applyNumberFormat="1" applyFont="1" applyBorder="1" applyAlignment="1">
      <alignment/>
    </xf>
    <xf numFmtId="9" fontId="5" fillId="0" borderId="45" xfId="54" applyFont="1" applyBorder="1" applyAlignment="1">
      <alignment horizontal="center"/>
    </xf>
    <xf numFmtId="4" fontId="10" fillId="0" borderId="87" xfId="0" applyNumberFormat="1" applyFont="1" applyBorder="1" applyAlignment="1">
      <alignment horizontal="center"/>
    </xf>
    <xf numFmtId="9" fontId="10" fillId="0" borderId="0" xfId="54" applyFont="1" applyBorder="1" applyAlignment="1">
      <alignment horizontal="center"/>
    </xf>
    <xf numFmtId="0" fontId="5" fillId="0" borderId="33" xfId="0" applyFont="1" applyBorder="1" applyAlignment="1">
      <alignment horizontal="center" vertical="top" wrapText="1"/>
    </xf>
    <xf numFmtId="4" fontId="10" fillId="0" borderId="47" xfId="0" applyNumberFormat="1" applyFont="1" applyBorder="1" applyAlignment="1">
      <alignment horizontal="center"/>
    </xf>
    <xf numFmtId="4" fontId="10" fillId="0" borderId="33" xfId="0" applyNumberFormat="1" applyFont="1" applyBorder="1" applyAlignment="1">
      <alignment horizontal="center"/>
    </xf>
    <xf numFmtId="9" fontId="10" fillId="0" borderId="48" xfId="54" applyFont="1" applyBorder="1" applyAlignment="1">
      <alignment horizontal="center"/>
    </xf>
    <xf numFmtId="9" fontId="10" fillId="0" borderId="33" xfId="0" applyNumberFormat="1" applyFont="1" applyBorder="1" applyAlignment="1">
      <alignment horizontal="center"/>
    </xf>
    <xf numFmtId="9" fontId="5" fillId="0" borderId="46" xfId="0" applyNumberFormat="1" applyFont="1" applyBorder="1" applyAlignment="1">
      <alignment horizontal="right"/>
    </xf>
    <xf numFmtId="0" fontId="5" fillId="0" borderId="19" xfId="0" applyFont="1" applyBorder="1" applyAlignment="1">
      <alignment/>
    </xf>
    <xf numFmtId="9" fontId="5" fillId="0" borderId="19" xfId="54" applyFont="1" applyBorder="1" applyAlignment="1">
      <alignment horizontal="center"/>
    </xf>
    <xf numFmtId="9" fontId="5" fillId="0" borderId="50" xfId="54" applyFont="1" applyBorder="1" applyAlignment="1">
      <alignment horizontal="right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" fontId="5" fillId="0" borderId="111" xfId="0" applyNumberFormat="1" applyFont="1" applyBorder="1" applyAlignment="1">
      <alignment horizontal="right"/>
    </xf>
    <xf numFmtId="0" fontId="5" fillId="0" borderId="19" xfId="0" applyFont="1" applyBorder="1" applyAlignment="1">
      <alignment horizontal="left" vertical="top" wrapText="1"/>
    </xf>
    <xf numFmtId="0" fontId="5" fillId="0" borderId="67" xfId="0" applyFont="1" applyBorder="1" applyAlignment="1">
      <alignment horizontal="center" vertical="top"/>
    </xf>
    <xf numFmtId="9" fontId="5" fillId="0" borderId="71" xfId="54" applyFont="1" applyBorder="1" applyAlignment="1">
      <alignment horizontal="right"/>
    </xf>
    <xf numFmtId="9" fontId="5" fillId="0" borderId="94" xfId="0" applyNumberFormat="1" applyFont="1" applyBorder="1" applyAlignment="1">
      <alignment horizontal="right"/>
    </xf>
    <xf numFmtId="4" fontId="5" fillId="0" borderId="112" xfId="0" applyNumberFormat="1" applyFont="1" applyBorder="1" applyAlignment="1">
      <alignment/>
    </xf>
    <xf numFmtId="4" fontId="5" fillId="0" borderId="67" xfId="0" applyNumberFormat="1" applyFont="1" applyBorder="1" applyAlignment="1">
      <alignment/>
    </xf>
    <xf numFmtId="9" fontId="5" fillId="0" borderId="94" xfId="54" applyFont="1" applyBorder="1" applyAlignment="1">
      <alignment/>
    </xf>
    <xf numFmtId="9" fontId="5" fillId="0" borderId="67" xfId="0" applyNumberFormat="1" applyFont="1" applyBorder="1" applyAlignment="1">
      <alignment/>
    </xf>
    <xf numFmtId="4" fontId="5" fillId="0" borderId="68" xfId="0" applyNumberFormat="1" applyFont="1" applyBorder="1" applyAlignment="1">
      <alignment/>
    </xf>
    <xf numFmtId="3" fontId="5" fillId="0" borderId="69" xfId="0" applyNumberFormat="1" applyFont="1" applyBorder="1" applyAlignment="1">
      <alignment horizontal="center"/>
    </xf>
    <xf numFmtId="9" fontId="5" fillId="0" borderId="113" xfId="0" applyNumberFormat="1" applyFont="1" applyBorder="1" applyAlignment="1">
      <alignment/>
    </xf>
    <xf numFmtId="9" fontId="5" fillId="0" borderId="113" xfId="54" applyFont="1" applyBorder="1" applyAlignment="1">
      <alignment horizontal="right"/>
    </xf>
    <xf numFmtId="9" fontId="5" fillId="0" borderId="71" xfId="54" applyFont="1" applyBorder="1" applyAlignment="1">
      <alignment horizontal="center"/>
    </xf>
    <xf numFmtId="4" fontId="5" fillId="0" borderId="112" xfId="0" applyNumberFormat="1" applyFont="1" applyBorder="1" applyAlignment="1">
      <alignment horizontal="center"/>
    </xf>
    <xf numFmtId="9" fontId="5" fillId="0" borderId="94" xfId="54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7" xfId="0" applyFont="1" applyBorder="1" applyAlignment="1">
      <alignment horizontal="center" vertical="top"/>
    </xf>
    <xf numFmtId="0" fontId="5" fillId="0" borderId="37" xfId="0" applyFont="1" applyBorder="1" applyAlignment="1">
      <alignment horizontal="left" vertical="center" wrapText="1"/>
    </xf>
    <xf numFmtId="4" fontId="5" fillId="0" borderId="114" xfId="0" applyNumberFormat="1" applyFont="1" applyBorder="1" applyAlignment="1">
      <alignment horizontal="right"/>
    </xf>
    <xf numFmtId="9" fontId="5" fillId="0" borderId="40" xfId="54" applyFont="1" applyBorder="1" applyAlignment="1">
      <alignment horizontal="right"/>
    </xf>
    <xf numFmtId="9" fontId="5" fillId="0" borderId="115" xfId="0" applyNumberFormat="1" applyFont="1" applyBorder="1" applyAlignment="1">
      <alignment horizontal="right"/>
    </xf>
    <xf numFmtId="4" fontId="5" fillId="0" borderId="116" xfId="0" applyNumberFormat="1" applyFont="1" applyBorder="1" applyAlignment="1">
      <alignment/>
    </xf>
    <xf numFmtId="4" fontId="5" fillId="0" borderId="37" xfId="0" applyNumberFormat="1" applyFont="1" applyBorder="1" applyAlignment="1">
      <alignment/>
    </xf>
    <xf numFmtId="9" fontId="5" fillId="0" borderId="115" xfId="54" applyFont="1" applyBorder="1" applyAlignment="1">
      <alignment/>
    </xf>
    <xf numFmtId="9" fontId="5" fillId="0" borderId="37" xfId="0" applyNumberFormat="1" applyFont="1" applyBorder="1" applyAlignment="1">
      <alignment/>
    </xf>
    <xf numFmtId="0" fontId="5" fillId="0" borderId="37" xfId="0" applyFont="1" applyBorder="1" applyAlignment="1">
      <alignment horizontal="right"/>
    </xf>
    <xf numFmtId="0" fontId="5" fillId="0" borderId="37" xfId="0" applyFont="1" applyBorder="1" applyAlignment="1">
      <alignment horizontal="left"/>
    </xf>
    <xf numFmtId="4" fontId="5" fillId="0" borderId="37" xfId="0" applyNumberFormat="1" applyFont="1" applyBorder="1" applyAlignment="1">
      <alignment horizontal="right"/>
    </xf>
    <xf numFmtId="9" fontId="5" fillId="0" borderId="115" xfId="54" applyFont="1" applyBorder="1" applyAlignment="1">
      <alignment horizontal="right"/>
    </xf>
    <xf numFmtId="4" fontId="5" fillId="0" borderId="116" xfId="0" applyNumberFormat="1" applyFont="1" applyBorder="1" applyAlignment="1">
      <alignment horizontal="right"/>
    </xf>
    <xf numFmtId="9" fontId="5" fillId="0" borderId="37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3" fontId="10" fillId="0" borderId="50" xfId="0" applyNumberFormat="1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4" fontId="10" fillId="0" borderId="50" xfId="0" applyNumberFormat="1" applyFont="1" applyBorder="1" applyAlignment="1">
      <alignment horizontal="center" vertical="center" wrapText="1"/>
    </xf>
    <xf numFmtId="4" fontId="10" fillId="0" borderId="117" xfId="0" applyNumberFormat="1" applyFont="1" applyBorder="1" applyAlignment="1">
      <alignment horizontal="center" vertical="center" wrapText="1"/>
    </xf>
    <xf numFmtId="9" fontId="10" fillId="0" borderId="118" xfId="54" applyFont="1" applyBorder="1" applyAlignment="1">
      <alignment horizontal="center" vertical="center" wrapText="1"/>
    </xf>
    <xf numFmtId="4" fontId="10" fillId="0" borderId="119" xfId="0" applyNumberFormat="1" applyFont="1" applyBorder="1" applyAlignment="1">
      <alignment horizontal="center" vertical="center" wrapText="1"/>
    </xf>
    <xf numFmtId="9" fontId="10" fillId="0" borderId="120" xfId="54" applyFont="1" applyBorder="1" applyAlignment="1">
      <alignment horizontal="center" vertical="center" wrapText="1"/>
    </xf>
    <xf numFmtId="9" fontId="10" fillId="0" borderId="73" xfId="0" applyNumberFormat="1" applyFont="1" applyBorder="1" applyAlignment="1">
      <alignment horizontal="center" vertical="center" wrapText="1"/>
    </xf>
    <xf numFmtId="0" fontId="5" fillId="0" borderId="104" xfId="0" applyFont="1" applyBorder="1" applyAlignment="1">
      <alignment horizontal="center" vertical="center" wrapText="1"/>
    </xf>
    <xf numFmtId="0" fontId="5" fillId="0" borderId="105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121" xfId="0" applyFont="1" applyBorder="1" applyAlignment="1">
      <alignment horizontal="center" vertical="center" wrapText="1"/>
    </xf>
    <xf numFmtId="0" fontId="5" fillId="0" borderId="122" xfId="0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9" fontId="10" fillId="0" borderId="25" xfId="54" applyFont="1" applyBorder="1" applyAlignment="1">
      <alignment horizontal="center" vertical="center" wrapText="1"/>
    </xf>
    <xf numFmtId="4" fontId="10" fillId="0" borderId="123" xfId="0" applyNumberFormat="1" applyFont="1" applyBorder="1" applyAlignment="1">
      <alignment horizontal="center" vertical="center" wrapText="1"/>
    </xf>
    <xf numFmtId="9" fontId="10" fillId="0" borderId="60" xfId="54" applyFont="1" applyBorder="1" applyAlignment="1">
      <alignment horizontal="center" vertical="center" wrapText="1"/>
    </xf>
    <xf numFmtId="3" fontId="5" fillId="0" borderId="72" xfId="0" applyNumberFormat="1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3" fontId="5" fillId="0" borderId="97" xfId="0" applyNumberFormat="1" applyFont="1" applyBorder="1" applyAlignment="1">
      <alignment horizontal="center" vertical="center" wrapText="1"/>
    </xf>
    <xf numFmtId="166" fontId="5" fillId="0" borderId="98" xfId="0" applyNumberFormat="1" applyFont="1" applyBorder="1" applyAlignment="1">
      <alignment horizontal="center" vertical="center" wrapText="1"/>
    </xf>
    <xf numFmtId="3" fontId="5" fillId="0" borderId="99" xfId="0" applyNumberFormat="1" applyFont="1" applyBorder="1" applyAlignment="1">
      <alignment horizontal="center" vertical="center" wrapText="1"/>
    </xf>
    <xf numFmtId="166" fontId="5" fillId="0" borderId="100" xfId="0" applyNumberFormat="1" applyFont="1" applyBorder="1" applyAlignment="1">
      <alignment horizontal="center" vertical="center" wrapText="1"/>
    </xf>
    <xf numFmtId="166" fontId="5" fillId="0" borderId="72" xfId="0" applyNumberFormat="1" applyFont="1" applyBorder="1" applyAlignment="1">
      <alignment horizontal="center" vertical="center" wrapText="1"/>
    </xf>
    <xf numFmtId="4" fontId="5" fillId="0" borderId="123" xfId="0" applyNumberFormat="1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9" fontId="5" fillId="0" borderId="14" xfId="54" applyFont="1" applyBorder="1" applyAlignment="1">
      <alignment horizontal="center" vertical="center" wrapText="1"/>
    </xf>
    <xf numFmtId="9" fontId="5" fillId="0" borderId="24" xfId="0" applyNumberFormat="1" applyFont="1" applyBorder="1" applyAlignment="1">
      <alignment horizontal="center" vertical="center" wrapText="1"/>
    </xf>
    <xf numFmtId="9" fontId="10" fillId="0" borderId="14" xfId="54" applyFont="1" applyBorder="1" applyAlignment="1">
      <alignment horizontal="center" vertical="center" wrapText="1"/>
    </xf>
    <xf numFmtId="9" fontId="10" fillId="0" borderId="24" xfId="54" applyFont="1" applyBorder="1" applyAlignment="1">
      <alignment horizontal="center" vertical="center" wrapText="1"/>
    </xf>
    <xf numFmtId="9" fontId="10" fillId="0" borderId="25" xfId="54" applyFont="1" applyBorder="1" applyAlignment="1">
      <alignment horizontal="center" vertical="center"/>
    </xf>
    <xf numFmtId="4" fontId="10" fillId="0" borderId="123" xfId="0" applyNumberFormat="1" applyFont="1" applyBorder="1" applyAlignment="1">
      <alignment horizontal="center" vertical="center"/>
    </xf>
    <xf numFmtId="9" fontId="10" fillId="0" borderId="14" xfId="54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/>
    </xf>
    <xf numFmtId="0" fontId="5" fillId="0" borderId="84" xfId="0" applyFont="1" applyBorder="1" applyAlignment="1">
      <alignment horizontal="center" vertical="top"/>
    </xf>
    <xf numFmtId="4" fontId="5" fillId="0" borderId="84" xfId="0" applyNumberFormat="1" applyFont="1" applyBorder="1" applyAlignment="1">
      <alignment horizontal="center"/>
    </xf>
    <xf numFmtId="9" fontId="5" fillId="0" borderId="124" xfId="54" applyFont="1" applyBorder="1" applyAlignment="1">
      <alignment horizontal="center"/>
    </xf>
    <xf numFmtId="9" fontId="5" fillId="0" borderId="125" xfId="0" applyNumberFormat="1" applyFont="1" applyBorder="1" applyAlignment="1">
      <alignment horizontal="center"/>
    </xf>
    <xf numFmtId="4" fontId="5" fillId="0" borderId="126" xfId="0" applyNumberFormat="1" applyFont="1" applyBorder="1" applyAlignment="1">
      <alignment horizontal="center"/>
    </xf>
    <xf numFmtId="9" fontId="5" fillId="0" borderId="127" xfId="54" applyFont="1" applyBorder="1" applyAlignment="1">
      <alignment horizontal="center"/>
    </xf>
    <xf numFmtId="9" fontId="5" fillId="0" borderId="84" xfId="0" applyNumberFormat="1" applyFont="1" applyBorder="1" applyAlignment="1">
      <alignment horizontal="center"/>
    </xf>
    <xf numFmtId="9" fontId="5" fillId="0" borderId="60" xfId="54" applyFont="1" applyBorder="1" applyAlignment="1">
      <alignment horizontal="center" vertical="center" wrapText="1"/>
    </xf>
    <xf numFmtId="3" fontId="10" fillId="0" borderId="67" xfId="0" applyNumberFormat="1" applyFont="1" applyBorder="1" applyAlignment="1">
      <alignment horizontal="center"/>
    </xf>
    <xf numFmtId="9" fontId="5" fillId="0" borderId="113" xfId="0" applyNumberFormat="1" applyFont="1" applyBorder="1" applyAlignment="1">
      <alignment horizontal="center"/>
    </xf>
    <xf numFmtId="4" fontId="5" fillId="0" borderId="114" xfId="0" applyNumberFormat="1" applyFont="1" applyBorder="1" applyAlignment="1">
      <alignment/>
    </xf>
    <xf numFmtId="0" fontId="10" fillId="0" borderId="26" xfId="0" applyFont="1" applyBorder="1" applyAlignment="1">
      <alignment horizontal="center" vertical="center"/>
    </xf>
    <xf numFmtId="0" fontId="10" fillId="0" borderId="128" xfId="0" applyFont="1" applyBorder="1" applyAlignment="1">
      <alignment horizontal="center" vertical="center"/>
    </xf>
    <xf numFmtId="9" fontId="10" fillId="0" borderId="27" xfId="54" applyFont="1" applyBorder="1" applyAlignment="1">
      <alignment horizontal="center" vertical="center"/>
    </xf>
    <xf numFmtId="0" fontId="5" fillId="0" borderId="129" xfId="0" applyFont="1" applyBorder="1" applyAlignment="1">
      <alignment horizontal="center"/>
    </xf>
    <xf numFmtId="0" fontId="5" fillId="0" borderId="129" xfId="0" applyFont="1" applyBorder="1" applyAlignment="1">
      <alignment horizontal="center" vertical="top"/>
    </xf>
    <xf numFmtId="0" fontId="5" fillId="0" borderId="129" xfId="0" applyFont="1" applyBorder="1" applyAlignment="1">
      <alignment horizontal="left" vertical="center" wrapText="1"/>
    </xf>
    <xf numFmtId="4" fontId="5" fillId="0" borderId="129" xfId="0" applyNumberFormat="1" applyFont="1" applyBorder="1" applyAlignment="1">
      <alignment horizontal="right"/>
    </xf>
    <xf numFmtId="4" fontId="5" fillId="0" borderId="130" xfId="0" applyNumberFormat="1" applyFont="1" applyBorder="1" applyAlignment="1">
      <alignment horizontal="right"/>
    </xf>
    <xf numFmtId="9" fontId="5" fillId="0" borderId="131" xfId="54" applyFont="1" applyBorder="1" applyAlignment="1">
      <alignment horizontal="right"/>
    </xf>
    <xf numFmtId="9" fontId="5" fillId="0" borderId="132" xfId="0" applyNumberFormat="1" applyFont="1" applyBorder="1" applyAlignment="1">
      <alignment horizontal="right"/>
    </xf>
    <xf numFmtId="4" fontId="5" fillId="0" borderId="133" xfId="0" applyNumberFormat="1" applyFont="1" applyBorder="1" applyAlignment="1">
      <alignment/>
    </xf>
    <xf numFmtId="4" fontId="5" fillId="0" borderId="129" xfId="0" applyNumberFormat="1" applyFont="1" applyBorder="1" applyAlignment="1">
      <alignment/>
    </xf>
    <xf numFmtId="9" fontId="5" fillId="0" borderId="132" xfId="54" applyFont="1" applyBorder="1" applyAlignment="1">
      <alignment/>
    </xf>
    <xf numFmtId="9" fontId="5" fillId="0" borderId="129" xfId="0" applyNumberFormat="1" applyFont="1" applyBorder="1" applyAlignment="1">
      <alignment/>
    </xf>
    <xf numFmtId="3" fontId="5" fillId="0" borderId="134" xfId="0" applyNumberFormat="1" applyFont="1" applyBorder="1" applyAlignment="1">
      <alignment horizontal="center"/>
    </xf>
    <xf numFmtId="0" fontId="5" fillId="0" borderId="67" xfId="0" applyFont="1" applyBorder="1" applyAlignment="1">
      <alignment/>
    </xf>
    <xf numFmtId="49" fontId="5" fillId="0" borderId="67" xfId="0" applyNumberFormat="1" applyFont="1" applyBorder="1" applyAlignment="1">
      <alignment horizontal="center"/>
    </xf>
    <xf numFmtId="9" fontId="5" fillId="0" borderId="71" xfId="0" applyNumberFormat="1" applyFont="1" applyBorder="1" applyAlignment="1">
      <alignment horizontal="center"/>
    </xf>
    <xf numFmtId="9" fontId="5" fillId="0" borderId="67" xfId="0" applyNumberFormat="1" applyFont="1" applyBorder="1" applyAlignment="1">
      <alignment horizontal="right"/>
    </xf>
    <xf numFmtId="0" fontId="5" fillId="0" borderId="33" xfId="0" applyFont="1" applyBorder="1" applyAlignment="1">
      <alignment horizontal="center" vertical="center"/>
    </xf>
    <xf numFmtId="0" fontId="5" fillId="0" borderId="84" xfId="0" applyFont="1" applyBorder="1" applyAlignment="1">
      <alignment/>
    </xf>
    <xf numFmtId="1" fontId="5" fillId="0" borderId="84" xfId="0" applyNumberFormat="1" applyFont="1" applyBorder="1" applyAlignment="1">
      <alignment horizontal="center"/>
    </xf>
    <xf numFmtId="9" fontId="5" fillId="0" borderId="124" xfId="0" applyNumberFormat="1" applyFont="1" applyBorder="1" applyAlignment="1">
      <alignment horizontal="center"/>
    </xf>
    <xf numFmtId="4" fontId="5" fillId="0" borderId="83" xfId="0" applyNumberFormat="1" applyFont="1" applyBorder="1" applyAlignment="1">
      <alignment horizontal="center"/>
    </xf>
    <xf numFmtId="0" fontId="5" fillId="0" borderId="125" xfId="0" applyFont="1" applyBorder="1" applyAlignment="1">
      <alignment horizontal="center"/>
    </xf>
    <xf numFmtId="0" fontId="5" fillId="0" borderId="84" xfId="0" applyFont="1" applyBorder="1" applyAlignment="1">
      <alignment horizontal="center" vertical="center" wrapText="1"/>
    </xf>
    <xf numFmtId="0" fontId="5" fillId="0" borderId="134" xfId="0" applyFont="1" applyBorder="1" applyAlignment="1">
      <alignment/>
    </xf>
    <xf numFmtId="0" fontId="5" fillId="0" borderId="134" xfId="0" applyFont="1" applyBorder="1" applyAlignment="1">
      <alignment horizontal="center"/>
    </xf>
    <xf numFmtId="1" fontId="5" fillId="0" borderId="134" xfId="0" applyNumberFormat="1" applyFont="1" applyBorder="1" applyAlignment="1">
      <alignment horizontal="center" vertical="top"/>
    </xf>
    <xf numFmtId="0" fontId="5" fillId="0" borderId="134" xfId="0" applyFont="1" applyBorder="1" applyAlignment="1">
      <alignment horizontal="left" vertical="center" wrapText="1"/>
    </xf>
    <xf numFmtId="4" fontId="5" fillId="0" borderId="134" xfId="0" applyNumberFormat="1" applyFont="1" applyBorder="1" applyAlignment="1">
      <alignment horizontal="right"/>
    </xf>
    <xf numFmtId="9" fontId="5" fillId="0" borderId="135" xfId="0" applyNumberFormat="1" applyFont="1" applyBorder="1" applyAlignment="1">
      <alignment horizontal="right"/>
    </xf>
    <xf numFmtId="4" fontId="5" fillId="0" borderId="136" xfId="0" applyNumberFormat="1" applyFont="1" applyBorder="1" applyAlignment="1">
      <alignment horizontal="right"/>
    </xf>
    <xf numFmtId="9" fontId="5" fillId="0" borderId="20" xfId="0" applyNumberFormat="1" applyFont="1" applyBorder="1" applyAlignment="1">
      <alignment horizontal="right"/>
    </xf>
    <xf numFmtId="4" fontId="5" fillId="0" borderId="137" xfId="0" applyNumberFormat="1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134" xfId="0" applyFont="1" applyBorder="1" applyAlignment="1">
      <alignment horizontal="right"/>
    </xf>
    <xf numFmtId="1" fontId="5" fillId="0" borderId="37" xfId="0" applyNumberFormat="1" applyFont="1" applyBorder="1" applyAlignment="1">
      <alignment horizontal="center" vertical="top"/>
    </xf>
    <xf numFmtId="0" fontId="5" fillId="0" borderId="54" xfId="0" applyFont="1" applyBorder="1" applyAlignment="1">
      <alignment horizontal="right"/>
    </xf>
    <xf numFmtId="1" fontId="5" fillId="0" borderId="37" xfId="0" applyNumberFormat="1" applyFont="1" applyBorder="1" applyAlignment="1">
      <alignment horizontal="center"/>
    </xf>
    <xf numFmtId="4" fontId="5" fillId="0" borderId="111" xfId="0" applyNumberFormat="1" applyFont="1" applyBorder="1" applyAlignment="1">
      <alignment horizontal="center"/>
    </xf>
    <xf numFmtId="4" fontId="5" fillId="0" borderId="37" xfId="0" applyNumberFormat="1" applyFont="1" applyBorder="1" applyAlignment="1">
      <alignment horizontal="center"/>
    </xf>
    <xf numFmtId="9" fontId="5" fillId="0" borderId="54" xfId="0" applyNumberFormat="1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134" xfId="0" applyFont="1" applyBorder="1" applyAlignment="1">
      <alignment horizontal="center"/>
    </xf>
    <xf numFmtId="0" fontId="5" fillId="0" borderId="134" xfId="0" applyFont="1" applyBorder="1" applyAlignment="1">
      <alignment horizontal="center" vertical="center" wrapText="1"/>
    </xf>
    <xf numFmtId="4" fontId="5" fillId="0" borderId="134" xfId="0" applyNumberFormat="1" applyFont="1" applyBorder="1" applyAlignment="1">
      <alignment horizontal="center"/>
    </xf>
    <xf numFmtId="9" fontId="5" fillId="0" borderId="135" xfId="0" applyNumberFormat="1" applyFont="1" applyBorder="1" applyAlignment="1">
      <alignment horizontal="center"/>
    </xf>
    <xf numFmtId="4" fontId="5" fillId="0" borderId="136" xfId="0" applyNumberFormat="1" applyFont="1" applyBorder="1" applyAlignment="1">
      <alignment horizontal="center"/>
    </xf>
    <xf numFmtId="9" fontId="5" fillId="0" borderId="138" xfId="0" applyNumberFormat="1" applyFont="1" applyBorder="1" applyAlignment="1">
      <alignment horizontal="center"/>
    </xf>
    <xf numFmtId="9" fontId="5" fillId="0" borderId="20" xfId="0" applyNumberFormat="1" applyFont="1" applyBorder="1" applyAlignment="1">
      <alignment horizontal="center"/>
    </xf>
    <xf numFmtId="9" fontId="5" fillId="0" borderId="134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119" xfId="0" applyFont="1" applyBorder="1" applyAlignment="1">
      <alignment horizontal="center" vertical="center"/>
    </xf>
    <xf numFmtId="0" fontId="5" fillId="0" borderId="120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134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1" fontId="5" fillId="0" borderId="134" xfId="0" applyNumberFormat="1" applyFont="1" applyBorder="1" applyAlignment="1">
      <alignment horizontal="center" vertical="center"/>
    </xf>
    <xf numFmtId="1" fontId="9" fillId="0" borderId="50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39" xfId="0" applyFont="1" applyBorder="1" applyAlignment="1">
      <alignment horizontal="center" vertical="center"/>
    </xf>
    <xf numFmtId="0" fontId="5" fillId="0" borderId="136" xfId="0" applyFont="1" applyBorder="1" applyAlignment="1">
      <alignment horizontal="center" vertical="center"/>
    </xf>
    <xf numFmtId="0" fontId="5" fillId="0" borderId="140" xfId="0" applyFont="1" applyBorder="1" applyAlignment="1">
      <alignment horizontal="center" vertical="center"/>
    </xf>
    <xf numFmtId="0" fontId="5" fillId="0" borderId="141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142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143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134" xfId="0" applyFont="1" applyBorder="1" applyAlignment="1">
      <alignment horizontal="center" vertical="top"/>
    </xf>
    <xf numFmtId="0" fontId="5" fillId="0" borderId="67" xfId="0" applyFont="1" applyBorder="1" applyAlignment="1">
      <alignment horizontal="center" vertical="top"/>
    </xf>
    <xf numFmtId="0" fontId="5" fillId="0" borderId="76" xfId="0" applyFont="1" applyBorder="1" applyAlignment="1">
      <alignment horizontal="center" vertical="center"/>
    </xf>
    <xf numFmtId="0" fontId="5" fillId="0" borderId="144" xfId="0" applyFont="1" applyBorder="1" applyAlignment="1">
      <alignment horizontal="center" vertical="center"/>
    </xf>
    <xf numFmtId="0" fontId="5" fillId="0" borderId="145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4"/>
      <c:rotY val="192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3 204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shape val="box"/>
        </c:ser>
        <c:ser>
          <c:idx val="1"/>
          <c:order val="1"/>
          <c:tx>
            <c:v>3 204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</c:numLit>
          </c:val>
          <c:shape val="box"/>
        </c:ser>
        <c:gapWidth val="83"/>
        <c:gapDepth val="50"/>
        <c:shape val="box"/>
        <c:axId val="8620314"/>
        <c:axId val="10473963"/>
        <c:axId val="27156804"/>
      </c:bar3DChart>
      <c:catAx>
        <c:axId val="862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473963"/>
        <c:crosses val="autoZero"/>
        <c:auto val="0"/>
        <c:lblOffset val="100"/>
        <c:tickLblSkip val="16"/>
        <c:noMultiLvlLbl val="0"/>
      </c:catAx>
      <c:valAx>
        <c:axId val="10473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20314"/>
        <c:crossesAt val="1"/>
        <c:crossBetween val="between"/>
        <c:dispUnits/>
      </c:valAx>
      <c:serAx>
        <c:axId val="271568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473963"/>
        <c:crosses val="autoZero"/>
        <c:tickLblSkip val="46"/>
        <c:tickMarkSkip val="1"/>
      </c:serAx>
      <c:spPr>
        <a:pattFill prst="pct25">
          <a:fgClr>
            <a:srgbClr val="FFFFFF"/>
          </a:fgClr>
          <a:bgClr>
            <a:srgbClr val="FFFFFF"/>
          </a:bgClr>
        </a:pattFill>
        <a:ln w="3175">
          <a:solidFill>
            <a:srgbClr val="FFFFFF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4"/>
      <c:rotY val="192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3 204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</c:strLit>
          </c:cat>
          <c:val>
            <c:numLit>
              <c:ptCount val="9"/>
              <c:pt idx="0">
                <c:v>461912</c:v>
              </c:pt>
              <c:pt idx="1">
                <c:v>1</c:v>
              </c:pt>
            </c:numLit>
          </c:val>
          <c:shape val="box"/>
        </c:ser>
        <c:ser>
          <c:idx val="1"/>
          <c:order val="1"/>
          <c:tx>
            <c:v>3 204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</c:strLit>
          </c:cat>
          <c:val>
            <c:numLit>
              <c:ptCount val="9"/>
            </c:numLit>
          </c:val>
          <c:shape val="box"/>
        </c:ser>
        <c:gapWidth val="83"/>
        <c:gapDepth val="50"/>
        <c:shape val="box"/>
        <c:axId val="43084645"/>
        <c:axId val="52217486"/>
        <c:axId val="195327"/>
      </c:bar3DChart>
      <c:catAx>
        <c:axId val="43084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217486"/>
        <c:crosses val="autoZero"/>
        <c:auto val="0"/>
        <c:lblOffset val="100"/>
        <c:tickLblSkip val="5"/>
        <c:noMultiLvlLbl val="0"/>
      </c:catAx>
      <c:valAx>
        <c:axId val="52217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84645"/>
        <c:crossesAt val="1"/>
        <c:crossBetween val="between"/>
        <c:dispUnits/>
      </c:valAx>
      <c:serAx>
        <c:axId val="1953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217486"/>
        <c:crosses val="autoZero"/>
        <c:tickLblSkip val="46"/>
        <c:tickMarkSkip val="1"/>
      </c:serAx>
      <c:spPr>
        <a:pattFill prst="pct25">
          <a:fgClr>
            <a:srgbClr val="FFFFFF"/>
          </a:fgClr>
          <a:bgClr>
            <a:srgbClr val="FFFFFF"/>
          </a:bgClr>
        </a:pattFill>
        <a:ln w="3175">
          <a:solidFill>
            <a:srgbClr val="FFFFFF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4"/>
      <c:rotY val="192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3 204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</c:strLit>
          </c:cat>
          <c:val>
            <c:numLit>
              <c:ptCount val="9"/>
              <c:pt idx="0">
                <c:v>461912</c:v>
              </c:pt>
              <c:pt idx="1">
                <c:v>1</c:v>
              </c:pt>
            </c:numLit>
          </c:val>
          <c:shape val="box"/>
        </c:ser>
        <c:ser>
          <c:idx val="1"/>
          <c:order val="1"/>
          <c:tx>
            <c:v>3 204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</c:strLit>
          </c:cat>
          <c:val>
            <c:numLit>
              <c:ptCount val="9"/>
            </c:numLit>
          </c:val>
          <c:shape val="box"/>
        </c:ser>
        <c:gapWidth val="83"/>
        <c:gapDepth val="50"/>
        <c:shape val="box"/>
        <c:axId val="1757944"/>
        <c:axId val="15821497"/>
        <c:axId val="8175746"/>
      </c:bar3DChart>
      <c:catAx>
        <c:axId val="1757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821497"/>
        <c:crosses val="autoZero"/>
        <c:auto val="0"/>
        <c:lblOffset val="100"/>
        <c:tickLblSkip val="5"/>
        <c:noMultiLvlLbl val="0"/>
      </c:catAx>
      <c:valAx>
        <c:axId val="15821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7944"/>
        <c:crossesAt val="1"/>
        <c:crossBetween val="between"/>
        <c:dispUnits/>
      </c:valAx>
      <c:serAx>
        <c:axId val="81757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821497"/>
        <c:crosses val="autoZero"/>
        <c:tickLblSkip val="46"/>
        <c:tickMarkSkip val="1"/>
      </c:serAx>
      <c:spPr>
        <a:pattFill prst="pct25">
          <a:fgClr>
            <a:srgbClr val="FFFFFF"/>
          </a:fgClr>
          <a:bgClr>
            <a:srgbClr val="FFFFFF"/>
          </a:bgClr>
        </a:pattFill>
        <a:ln w="3175">
          <a:solidFill>
            <a:srgbClr val="FFFFFF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4"/>
      <c:rotY val="192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3 204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</c:strLit>
          </c:cat>
          <c:val>
            <c:numLit>
              <c:ptCount val="9"/>
              <c:pt idx="0">
                <c:v>461912</c:v>
              </c:pt>
              <c:pt idx="1">
                <c:v>1</c:v>
              </c:pt>
            </c:numLit>
          </c:val>
          <c:shape val="box"/>
        </c:ser>
        <c:ser>
          <c:idx val="1"/>
          <c:order val="1"/>
          <c:tx>
            <c:v>3 204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</c:strLit>
          </c:cat>
          <c:val>
            <c:numLit>
              <c:ptCount val="9"/>
            </c:numLit>
          </c:val>
          <c:shape val="box"/>
        </c:ser>
        <c:gapWidth val="83"/>
        <c:gapDepth val="50"/>
        <c:shape val="box"/>
        <c:axId val="6472851"/>
        <c:axId val="58255660"/>
        <c:axId val="54538893"/>
      </c:bar3DChart>
      <c:catAx>
        <c:axId val="6472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255660"/>
        <c:crosses val="autoZero"/>
        <c:auto val="0"/>
        <c:lblOffset val="100"/>
        <c:tickLblSkip val="5"/>
        <c:noMultiLvlLbl val="0"/>
      </c:catAx>
      <c:valAx>
        <c:axId val="582556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2851"/>
        <c:crossesAt val="1"/>
        <c:crossBetween val="between"/>
        <c:dispUnits/>
      </c:valAx>
      <c:serAx>
        <c:axId val="545388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255660"/>
        <c:crosses val="autoZero"/>
        <c:tickLblSkip val="46"/>
        <c:tickMarkSkip val="1"/>
      </c:serAx>
      <c:spPr>
        <a:pattFill prst="pct25">
          <a:fgClr>
            <a:srgbClr val="FFFFFF"/>
          </a:fgClr>
          <a:bgClr>
            <a:srgbClr val="FFFFFF"/>
          </a:bgClr>
        </a:pattFill>
        <a:ln w="3175">
          <a:solidFill>
            <a:srgbClr val="FFFFFF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4"/>
      <c:rotY val="192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3 204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</c:strLit>
          </c:cat>
          <c:val>
            <c:numLit>
              <c:ptCount val="9"/>
              <c:pt idx="0">
                <c:v>461912</c:v>
              </c:pt>
              <c:pt idx="1">
                <c:v>1</c:v>
              </c:pt>
            </c:numLit>
          </c:val>
          <c:shape val="box"/>
        </c:ser>
        <c:ser>
          <c:idx val="1"/>
          <c:order val="1"/>
          <c:tx>
            <c:v>3 204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</c:strLit>
          </c:cat>
          <c:val>
            <c:numLit>
              <c:ptCount val="9"/>
            </c:numLit>
          </c:val>
          <c:shape val="box"/>
        </c:ser>
        <c:gapWidth val="83"/>
        <c:gapDepth val="50"/>
        <c:shape val="box"/>
        <c:axId val="21087990"/>
        <c:axId val="55574183"/>
        <c:axId val="30405600"/>
      </c:bar3DChart>
      <c:catAx>
        <c:axId val="2108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574183"/>
        <c:crosses val="autoZero"/>
        <c:auto val="0"/>
        <c:lblOffset val="100"/>
        <c:tickLblSkip val="5"/>
        <c:noMultiLvlLbl val="0"/>
      </c:catAx>
      <c:valAx>
        <c:axId val="555741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87990"/>
        <c:crossesAt val="1"/>
        <c:crossBetween val="between"/>
        <c:dispUnits/>
      </c:valAx>
      <c:serAx>
        <c:axId val="304056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574183"/>
        <c:crosses val="autoZero"/>
        <c:tickLblSkip val="46"/>
        <c:tickMarkSkip val="1"/>
      </c:serAx>
      <c:spPr>
        <a:pattFill prst="pct25">
          <a:fgClr>
            <a:srgbClr val="FFFFFF"/>
          </a:fgClr>
          <a:bgClr>
            <a:srgbClr val="FFFFFF"/>
          </a:bgClr>
        </a:pattFill>
        <a:ln w="3175">
          <a:solidFill>
            <a:srgbClr val="FFFFFF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4"/>
      <c:rotY val="192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3 204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</c:strLit>
          </c:cat>
          <c:val>
            <c:numLit>
              <c:ptCount val="9"/>
              <c:pt idx="0">
                <c:v>461912</c:v>
              </c:pt>
              <c:pt idx="1">
                <c:v>1</c:v>
              </c:pt>
            </c:numLit>
          </c:val>
          <c:shape val="box"/>
        </c:ser>
        <c:ser>
          <c:idx val="1"/>
          <c:order val="1"/>
          <c:tx>
            <c:v>3 204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</c:strLit>
          </c:cat>
          <c:val>
            <c:numLit>
              <c:ptCount val="9"/>
            </c:numLit>
          </c:val>
          <c:shape val="box"/>
        </c:ser>
        <c:gapWidth val="83"/>
        <c:gapDepth val="50"/>
        <c:shape val="box"/>
        <c:axId val="5214945"/>
        <c:axId val="46934506"/>
        <c:axId val="19757371"/>
      </c:bar3DChart>
      <c:catAx>
        <c:axId val="5214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934506"/>
        <c:crosses val="autoZero"/>
        <c:auto val="0"/>
        <c:lblOffset val="100"/>
        <c:tickLblSkip val="5"/>
        <c:noMultiLvlLbl val="0"/>
      </c:catAx>
      <c:valAx>
        <c:axId val="46934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4945"/>
        <c:crossesAt val="1"/>
        <c:crossBetween val="between"/>
        <c:dispUnits/>
      </c:valAx>
      <c:serAx>
        <c:axId val="197573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934506"/>
        <c:crosses val="autoZero"/>
        <c:tickLblSkip val="46"/>
        <c:tickMarkSkip val="1"/>
      </c:serAx>
      <c:spPr>
        <a:pattFill prst="pct25">
          <a:fgClr>
            <a:srgbClr val="FFFFFF"/>
          </a:fgClr>
          <a:bgClr>
            <a:srgbClr val="FFFFFF"/>
          </a:bgClr>
        </a:pattFill>
        <a:ln w="3175">
          <a:solidFill>
            <a:srgbClr val="FFFFFF"/>
          </a:solidFill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107</xdr:row>
      <xdr:rowOff>0</xdr:rowOff>
    </xdr:from>
    <xdr:to>
      <xdr:col>11</xdr:col>
      <xdr:colOff>0</xdr:colOff>
      <xdr:row>107</xdr:row>
      <xdr:rowOff>0</xdr:rowOff>
    </xdr:to>
    <xdr:graphicFrame>
      <xdr:nvGraphicFramePr>
        <xdr:cNvPr id="1" name="Chart 1"/>
        <xdr:cNvGraphicFramePr/>
      </xdr:nvGraphicFramePr>
      <xdr:xfrm>
        <a:off x="14135100" y="51977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285750</xdr:colOff>
      <xdr:row>12</xdr:row>
      <xdr:rowOff>0</xdr:rowOff>
    </xdr:from>
    <xdr:to>
      <xdr:col>27</xdr:col>
      <xdr:colOff>295275</xdr:colOff>
      <xdr:row>12</xdr:row>
      <xdr:rowOff>0</xdr:rowOff>
    </xdr:to>
    <xdr:sp>
      <xdr:nvSpPr>
        <xdr:cNvPr id="2" name="Tekst 3"/>
        <xdr:cNvSpPr txBox="1">
          <a:spLocks noChangeArrowheads="1"/>
        </xdr:cNvSpPr>
      </xdr:nvSpPr>
      <xdr:spPr>
        <a:xfrm>
          <a:off x="30251400" y="63341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11</xdr:col>
      <xdr:colOff>0</xdr:colOff>
      <xdr:row>35</xdr:row>
      <xdr:rowOff>0</xdr:rowOff>
    </xdr:to>
    <xdr:graphicFrame>
      <xdr:nvGraphicFramePr>
        <xdr:cNvPr id="3" name="Chart 4"/>
        <xdr:cNvGraphicFramePr/>
      </xdr:nvGraphicFramePr>
      <xdr:xfrm>
        <a:off x="14135100" y="16783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31</xdr:col>
      <xdr:colOff>285750</xdr:colOff>
      <xdr:row>12</xdr:row>
      <xdr:rowOff>0</xdr:rowOff>
    </xdr:from>
    <xdr:to>
      <xdr:col>31</xdr:col>
      <xdr:colOff>295275</xdr:colOff>
      <xdr:row>12</xdr:row>
      <xdr:rowOff>0</xdr:rowOff>
    </xdr:to>
    <xdr:sp>
      <xdr:nvSpPr>
        <xdr:cNvPr id="4" name="Tekst 3"/>
        <xdr:cNvSpPr txBox="1">
          <a:spLocks noChangeArrowheads="1"/>
        </xdr:cNvSpPr>
      </xdr:nvSpPr>
      <xdr:spPr>
        <a:xfrm>
          <a:off x="32689800" y="63341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graphicFrame>
      <xdr:nvGraphicFramePr>
        <xdr:cNvPr id="5" name="Chart 8"/>
        <xdr:cNvGraphicFramePr/>
      </xdr:nvGraphicFramePr>
      <xdr:xfrm>
        <a:off x="14135100" y="188785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0</xdr:colOff>
      <xdr:row>42</xdr:row>
      <xdr:rowOff>0</xdr:rowOff>
    </xdr:to>
    <xdr:graphicFrame>
      <xdr:nvGraphicFramePr>
        <xdr:cNvPr id="6" name="Chart 10"/>
        <xdr:cNvGraphicFramePr/>
      </xdr:nvGraphicFramePr>
      <xdr:xfrm>
        <a:off x="17221200" y="188785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graphicFrame>
      <xdr:nvGraphicFramePr>
        <xdr:cNvPr id="7" name="Chart 11"/>
        <xdr:cNvGraphicFramePr/>
      </xdr:nvGraphicFramePr>
      <xdr:xfrm>
        <a:off x="14135100" y="197739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43</xdr:row>
      <xdr:rowOff>0</xdr:rowOff>
    </xdr:from>
    <xdr:to>
      <xdr:col>14</xdr:col>
      <xdr:colOff>0</xdr:colOff>
      <xdr:row>43</xdr:row>
      <xdr:rowOff>0</xdr:rowOff>
    </xdr:to>
    <xdr:graphicFrame>
      <xdr:nvGraphicFramePr>
        <xdr:cNvPr id="8" name="Chart 12"/>
        <xdr:cNvGraphicFramePr/>
      </xdr:nvGraphicFramePr>
      <xdr:xfrm>
        <a:off x="17221200" y="197739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&#380;et\ABS_D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_D97"/>
      <sheetName val="Arkusz1"/>
      <sheetName val="Arkusz2"/>
      <sheetName val="Arkusz3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167"/>
  <sheetViews>
    <sheetView view="pageBreakPreview" zoomScale="60" zoomScaleNormal="75" zoomScalePageLayoutView="0" workbookViewId="0" topLeftCell="A109">
      <selection activeCell="C77" sqref="C77"/>
    </sheetView>
  </sheetViews>
  <sheetFormatPr defaultColWidth="9.140625" defaultRowHeight="12.75"/>
  <cols>
    <col min="1" max="1" width="6.57421875" style="6" customWidth="1"/>
    <col min="2" max="2" width="9.421875" style="7" customWidth="1"/>
    <col min="3" max="3" width="7.57421875" style="8" bestFit="1" customWidth="1"/>
    <col min="4" max="4" width="61.140625" style="6" customWidth="1"/>
    <col min="5" max="5" width="20.00390625" style="6" customWidth="1"/>
    <col min="6" max="6" width="21.8515625" style="6" customWidth="1"/>
    <col min="7" max="7" width="9.7109375" style="27" customWidth="1"/>
    <col min="8" max="8" width="22.57421875" style="6" customWidth="1"/>
    <col min="9" max="9" width="21.00390625" style="6" customWidth="1"/>
    <col min="10" max="10" width="12.00390625" style="6" customWidth="1"/>
    <col min="11" max="11" width="20.140625" style="6" customWidth="1"/>
    <col min="12" max="12" width="20.28125" style="6" customWidth="1"/>
    <col min="13" max="13" width="10.00390625" style="6" customWidth="1"/>
    <col min="14" max="15" width="16.00390625" style="6" customWidth="1"/>
    <col min="16" max="16" width="9.7109375" style="6" customWidth="1"/>
    <col min="17" max="18" width="13.421875" style="6" customWidth="1"/>
    <col min="19" max="19" width="9.140625" style="6" customWidth="1"/>
    <col min="20" max="20" width="9.00390625" style="6" customWidth="1"/>
    <col min="21" max="21" width="9.57421875" style="6" customWidth="1"/>
    <col min="22" max="22" width="56.140625" style="6" customWidth="1"/>
    <col min="23" max="23" width="15.28125" style="6" customWidth="1"/>
    <col min="24" max="24" width="12.00390625" style="6" customWidth="1"/>
    <col min="25" max="16384" width="9.140625" style="6" customWidth="1"/>
  </cols>
  <sheetData>
    <row r="1" spans="1:181" s="16" customFormat="1" ht="28.5" customHeight="1" thickBot="1" thickTop="1">
      <c r="A1" s="489" t="s">
        <v>0</v>
      </c>
      <c r="B1" s="489" t="s">
        <v>1</v>
      </c>
      <c r="C1" s="491" t="s">
        <v>2</v>
      </c>
      <c r="D1" s="489" t="s">
        <v>3</v>
      </c>
      <c r="E1" s="31"/>
      <c r="F1" s="32" t="s">
        <v>47</v>
      </c>
      <c r="G1" s="33"/>
      <c r="H1" s="32" t="s">
        <v>84</v>
      </c>
      <c r="I1" s="34"/>
      <c r="J1" s="32"/>
      <c r="K1" s="35" t="s">
        <v>85</v>
      </c>
      <c r="L1" s="34"/>
      <c r="M1" s="32"/>
      <c r="N1" s="486" t="s">
        <v>88</v>
      </c>
      <c r="O1" s="487"/>
      <c r="P1" s="488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</row>
    <row r="2" spans="1:181" s="18" customFormat="1" ht="38.25" customHeight="1" thickBot="1">
      <c r="A2" s="490"/>
      <c r="B2" s="490"/>
      <c r="C2" s="492"/>
      <c r="D2" s="493"/>
      <c r="E2" s="36" t="s">
        <v>86</v>
      </c>
      <c r="F2" s="36" t="s">
        <v>87</v>
      </c>
      <c r="G2" s="37" t="s">
        <v>83</v>
      </c>
      <c r="H2" s="38" t="s">
        <v>82</v>
      </c>
      <c r="I2" s="36" t="s">
        <v>79</v>
      </c>
      <c r="J2" s="39" t="s">
        <v>83</v>
      </c>
      <c r="K2" s="40" t="s">
        <v>82</v>
      </c>
      <c r="L2" s="41" t="s">
        <v>79</v>
      </c>
      <c r="M2" s="42" t="s">
        <v>83</v>
      </c>
      <c r="N2" s="40" t="s">
        <v>82</v>
      </c>
      <c r="O2" s="41" t="s">
        <v>79</v>
      </c>
      <c r="P2" s="41" t="s">
        <v>83</v>
      </c>
      <c r="Q2" s="24"/>
      <c r="R2" s="24"/>
      <c r="S2" s="6"/>
      <c r="T2" s="6"/>
      <c r="U2" s="17"/>
      <c r="V2" s="9"/>
      <c r="W2" s="9"/>
      <c r="X2" s="9"/>
      <c r="Y2" s="9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</row>
    <row r="3" spans="1:181" s="20" customFormat="1" ht="18.75" customHeight="1" thickBot="1">
      <c r="A3" s="10">
        <v>1</v>
      </c>
      <c r="B3" s="10">
        <v>2</v>
      </c>
      <c r="C3" s="23">
        <v>3</v>
      </c>
      <c r="D3" s="10">
        <v>4</v>
      </c>
      <c r="E3" s="15">
        <v>5</v>
      </c>
      <c r="F3" s="15">
        <v>6</v>
      </c>
      <c r="G3" s="29">
        <v>7</v>
      </c>
      <c r="H3" s="11">
        <v>8</v>
      </c>
      <c r="I3" s="10">
        <v>9</v>
      </c>
      <c r="J3" s="14">
        <v>10</v>
      </c>
      <c r="K3" s="19">
        <v>11</v>
      </c>
      <c r="L3" s="10">
        <v>12</v>
      </c>
      <c r="M3" s="14">
        <v>13</v>
      </c>
      <c r="N3" s="19">
        <v>14</v>
      </c>
      <c r="O3" s="10">
        <v>15</v>
      </c>
      <c r="P3" s="10">
        <v>16</v>
      </c>
      <c r="Q3" s="6"/>
      <c r="R3" s="6"/>
      <c r="S3" s="6"/>
      <c r="T3" s="6"/>
      <c r="U3" s="12"/>
      <c r="V3" s="9"/>
      <c r="W3" s="6"/>
      <c r="X3" s="6"/>
      <c r="Y3" s="9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</row>
    <row r="4" spans="1:181" s="197" customFormat="1" ht="30" customHeight="1" thickBot="1" thickTop="1">
      <c r="A4" s="222" t="s">
        <v>155</v>
      </c>
      <c r="B4" s="222"/>
      <c r="C4" s="223"/>
      <c r="D4" s="224" t="s">
        <v>20</v>
      </c>
      <c r="E4" s="225">
        <f>E5</f>
        <v>159226.27</v>
      </c>
      <c r="F4" s="225">
        <f>F5</f>
        <v>159226.27</v>
      </c>
      <c r="G4" s="226">
        <f aca="true" t="shared" si="0" ref="G4:G9">F4/E4</f>
        <v>1</v>
      </c>
      <c r="H4" s="227"/>
      <c r="I4" s="224"/>
      <c r="J4" s="228"/>
      <c r="K4" s="229">
        <f>K5</f>
        <v>159226.27</v>
      </c>
      <c r="L4" s="230">
        <f>L5</f>
        <v>159226.27</v>
      </c>
      <c r="M4" s="231">
        <f>L4/K4</f>
        <v>1</v>
      </c>
      <c r="N4" s="232"/>
      <c r="O4" s="224"/>
      <c r="P4" s="224"/>
      <c r="Q4" s="175"/>
      <c r="R4" s="175"/>
      <c r="S4" s="175"/>
      <c r="T4" s="175"/>
      <c r="U4" s="164"/>
      <c r="V4" s="180"/>
      <c r="W4" s="175"/>
      <c r="X4" s="175"/>
      <c r="Y4" s="180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5"/>
      <c r="DU4" s="175"/>
      <c r="DV4" s="175"/>
      <c r="DW4" s="175"/>
      <c r="DX4" s="175"/>
      <c r="DY4" s="175"/>
      <c r="DZ4" s="175"/>
      <c r="EA4" s="175"/>
      <c r="EB4" s="175"/>
      <c r="EC4" s="175"/>
      <c r="ED4" s="175"/>
      <c r="EE4" s="175"/>
      <c r="EF4" s="175"/>
      <c r="EG4" s="175"/>
      <c r="EH4" s="175"/>
      <c r="EI4" s="175"/>
      <c r="EJ4" s="175"/>
      <c r="EK4" s="175"/>
      <c r="EL4" s="175"/>
      <c r="EM4" s="175"/>
      <c r="EN4" s="175"/>
      <c r="EO4" s="175"/>
      <c r="EP4" s="175"/>
      <c r="EQ4" s="175"/>
      <c r="ER4" s="175"/>
      <c r="ES4" s="175"/>
      <c r="ET4" s="175"/>
      <c r="EU4" s="175"/>
      <c r="EV4" s="175"/>
      <c r="EW4" s="175"/>
      <c r="EX4" s="175"/>
      <c r="EY4" s="175"/>
      <c r="EZ4" s="175"/>
      <c r="FA4" s="175"/>
      <c r="FB4" s="175"/>
      <c r="FC4" s="175"/>
      <c r="FD4" s="175"/>
      <c r="FE4" s="175"/>
      <c r="FF4" s="175"/>
      <c r="FG4" s="175"/>
      <c r="FH4" s="175"/>
      <c r="FI4" s="175"/>
      <c r="FJ4" s="175"/>
      <c r="FK4" s="175"/>
      <c r="FL4" s="175"/>
      <c r="FM4" s="175"/>
      <c r="FN4" s="175"/>
      <c r="FO4" s="175"/>
      <c r="FP4" s="175"/>
      <c r="FQ4" s="175"/>
      <c r="FR4" s="175"/>
      <c r="FS4" s="175"/>
      <c r="FT4" s="175"/>
      <c r="FU4" s="175"/>
      <c r="FV4" s="175"/>
      <c r="FW4" s="175"/>
      <c r="FX4" s="175"/>
      <c r="FY4" s="175"/>
    </row>
    <row r="5" spans="1:181" s="56" customFormat="1" ht="18.75" customHeight="1" thickBot="1">
      <c r="A5" s="43"/>
      <c r="B5" s="43" t="s">
        <v>156</v>
      </c>
      <c r="C5" s="44"/>
      <c r="D5" s="45" t="s">
        <v>4</v>
      </c>
      <c r="E5" s="46">
        <f>E6</f>
        <v>159226.27</v>
      </c>
      <c r="F5" s="46">
        <f>F6</f>
        <v>159226.27</v>
      </c>
      <c r="G5" s="47">
        <f t="shared" si="0"/>
        <v>1</v>
      </c>
      <c r="H5" s="48"/>
      <c r="I5" s="45"/>
      <c r="J5" s="49"/>
      <c r="K5" s="50">
        <f>K6</f>
        <v>159226.27</v>
      </c>
      <c r="L5" s="51">
        <f>L6</f>
        <v>159226.27</v>
      </c>
      <c r="M5" s="52">
        <f>L5/K5</f>
        <v>1</v>
      </c>
      <c r="N5" s="53"/>
      <c r="O5" s="45"/>
      <c r="P5" s="45"/>
      <c r="Q5" s="24"/>
      <c r="R5" s="24"/>
      <c r="S5" s="24"/>
      <c r="T5" s="24"/>
      <c r="U5" s="54"/>
      <c r="V5" s="55"/>
      <c r="W5" s="24"/>
      <c r="X5" s="24"/>
      <c r="Y5" s="55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</row>
    <row r="6" spans="1:181" s="56" customFormat="1" ht="81" customHeight="1" thickBot="1">
      <c r="A6" s="45"/>
      <c r="B6" s="45"/>
      <c r="C6" s="57">
        <v>2010</v>
      </c>
      <c r="D6" s="58" t="s">
        <v>157</v>
      </c>
      <c r="E6" s="46">
        <v>159226.27</v>
      </c>
      <c r="F6" s="46">
        <v>159226.27</v>
      </c>
      <c r="G6" s="47">
        <f t="shared" si="0"/>
        <v>1</v>
      </c>
      <c r="H6" s="48"/>
      <c r="I6" s="45"/>
      <c r="J6" s="49"/>
      <c r="K6" s="50">
        <v>159226.27</v>
      </c>
      <c r="L6" s="51">
        <v>159226.27</v>
      </c>
      <c r="M6" s="52">
        <f>L6/K6</f>
        <v>1</v>
      </c>
      <c r="N6" s="53"/>
      <c r="O6" s="45"/>
      <c r="P6" s="45"/>
      <c r="Q6" s="24"/>
      <c r="R6" s="24"/>
      <c r="S6" s="55"/>
      <c r="T6" s="55"/>
      <c r="U6" s="59"/>
      <c r="V6" s="55"/>
      <c r="W6" s="55"/>
      <c r="X6" s="55"/>
      <c r="Y6" s="55"/>
      <c r="Z6" s="55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</row>
    <row r="7" spans="1:181" s="184" customFormat="1" ht="28.5" customHeight="1" thickBot="1">
      <c r="A7" s="177" t="str">
        <f>"020"</f>
        <v>020</v>
      </c>
      <c r="B7" s="177"/>
      <c r="C7" s="167"/>
      <c r="D7" s="112" t="s">
        <v>19</v>
      </c>
      <c r="E7" s="173">
        <f>E8</f>
        <v>1600</v>
      </c>
      <c r="F7" s="173">
        <f>F8</f>
        <v>3015.33</v>
      </c>
      <c r="G7" s="169">
        <f t="shared" si="0"/>
        <v>1.8845812499999999</v>
      </c>
      <c r="H7" s="173">
        <f>H8</f>
        <v>1600</v>
      </c>
      <c r="I7" s="173">
        <f>I8</f>
        <v>3015.33</v>
      </c>
      <c r="J7" s="178">
        <f>I7/H7</f>
        <v>1.8845812499999999</v>
      </c>
      <c r="K7" s="172"/>
      <c r="L7" s="173"/>
      <c r="M7" s="178"/>
      <c r="N7" s="172"/>
      <c r="O7" s="173"/>
      <c r="P7" s="179"/>
      <c r="Q7" s="175"/>
      <c r="R7" s="175"/>
      <c r="S7" s="180"/>
      <c r="T7" s="180"/>
      <c r="U7" s="181"/>
      <c r="V7" s="182"/>
      <c r="W7" s="182"/>
      <c r="X7" s="183"/>
      <c r="Y7" s="182"/>
      <c r="Z7" s="180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Q7" s="175"/>
      <c r="DR7" s="175"/>
      <c r="DS7" s="175"/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5"/>
      <c r="EF7" s="175"/>
      <c r="EG7" s="175"/>
      <c r="EH7" s="175"/>
      <c r="EI7" s="175"/>
      <c r="EJ7" s="175"/>
      <c r="EK7" s="175"/>
      <c r="EL7" s="175"/>
      <c r="EM7" s="175"/>
      <c r="EN7" s="175"/>
      <c r="EO7" s="175"/>
      <c r="EP7" s="175"/>
      <c r="EQ7" s="175"/>
      <c r="ER7" s="175"/>
      <c r="ES7" s="175"/>
      <c r="ET7" s="175"/>
      <c r="EU7" s="175"/>
      <c r="EV7" s="175"/>
      <c r="EW7" s="175"/>
      <c r="EX7" s="175"/>
      <c r="EY7" s="175"/>
      <c r="EZ7" s="175"/>
      <c r="FA7" s="175"/>
      <c r="FB7" s="175"/>
      <c r="FC7" s="175"/>
      <c r="FD7" s="175"/>
      <c r="FE7" s="175"/>
      <c r="FF7" s="175"/>
      <c r="FG7" s="175"/>
      <c r="FH7" s="175"/>
      <c r="FI7" s="175"/>
      <c r="FJ7" s="175"/>
      <c r="FK7" s="175"/>
      <c r="FL7" s="175"/>
      <c r="FM7" s="175"/>
      <c r="FN7" s="175"/>
      <c r="FO7" s="175"/>
      <c r="FP7" s="175"/>
      <c r="FQ7" s="175"/>
      <c r="FR7" s="175"/>
      <c r="FS7" s="175"/>
      <c r="FT7" s="175"/>
      <c r="FU7" s="175"/>
      <c r="FV7" s="175"/>
      <c r="FW7" s="175"/>
      <c r="FX7" s="175"/>
      <c r="FY7" s="175"/>
    </row>
    <row r="8" spans="1:181" s="65" customFormat="1" ht="21" thickBot="1">
      <c r="A8" s="66"/>
      <c r="B8" s="66" t="str">
        <f>"02095"</f>
        <v>02095</v>
      </c>
      <c r="C8" s="44"/>
      <c r="D8" s="45" t="s">
        <v>4</v>
      </c>
      <c r="E8" s="67">
        <f>E9</f>
        <v>1600</v>
      </c>
      <c r="F8" s="67">
        <f>F9</f>
        <v>3015.33</v>
      </c>
      <c r="G8" s="47">
        <f t="shared" si="0"/>
        <v>1.8845812499999999</v>
      </c>
      <c r="H8" s="67">
        <f>H9</f>
        <v>1600</v>
      </c>
      <c r="I8" s="67">
        <f>I9</f>
        <v>3015.33</v>
      </c>
      <c r="J8" s="52">
        <f>I9/H9</f>
        <v>1.8845812499999999</v>
      </c>
      <c r="K8" s="68"/>
      <c r="L8" s="67"/>
      <c r="M8" s="52"/>
      <c r="N8" s="68"/>
      <c r="O8" s="67"/>
      <c r="P8" s="69"/>
      <c r="Q8" s="24"/>
      <c r="R8" s="24"/>
      <c r="S8" s="55"/>
      <c r="T8" s="60"/>
      <c r="U8" s="61"/>
      <c r="V8" s="62"/>
      <c r="W8" s="63"/>
      <c r="X8" s="64"/>
      <c r="Y8" s="63"/>
      <c r="Z8" s="55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</row>
    <row r="9" spans="1:181" s="74" customFormat="1" ht="102" thickBot="1">
      <c r="A9" s="66"/>
      <c r="B9" s="66"/>
      <c r="C9" s="57" t="str">
        <f>"0750"</f>
        <v>0750</v>
      </c>
      <c r="D9" s="58" t="s">
        <v>151</v>
      </c>
      <c r="E9" s="51">
        <v>1600</v>
      </c>
      <c r="F9" s="51">
        <v>3015.33</v>
      </c>
      <c r="G9" s="70">
        <f t="shared" si="0"/>
        <v>1.8845812499999999</v>
      </c>
      <c r="H9" s="71">
        <v>1600</v>
      </c>
      <c r="I9" s="51">
        <v>3015.33</v>
      </c>
      <c r="J9" s="72">
        <f>I9/H9</f>
        <v>1.8845812499999999</v>
      </c>
      <c r="K9" s="50"/>
      <c r="L9" s="51"/>
      <c r="M9" s="72"/>
      <c r="N9" s="50"/>
      <c r="O9" s="51"/>
      <c r="P9" s="73"/>
      <c r="Q9" s="54"/>
      <c r="R9" s="54"/>
      <c r="S9" s="59"/>
      <c r="T9" s="60"/>
      <c r="U9" s="61"/>
      <c r="V9" s="62"/>
      <c r="W9" s="63"/>
      <c r="X9" s="64"/>
      <c r="Y9" s="59"/>
      <c r="Z9" s="55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</row>
    <row r="10" spans="1:181" s="180" customFormat="1" ht="30" customHeight="1" thickBot="1">
      <c r="A10" s="177">
        <v>600</v>
      </c>
      <c r="B10" s="177"/>
      <c r="C10" s="167"/>
      <c r="D10" s="112" t="s">
        <v>22</v>
      </c>
      <c r="E10" s="173">
        <f>E11</f>
        <v>9000</v>
      </c>
      <c r="F10" s="173">
        <f>F11</f>
        <v>9000</v>
      </c>
      <c r="G10" s="169">
        <f aca="true" t="shared" si="1" ref="G10:G17">F10/E10</f>
        <v>1</v>
      </c>
      <c r="H10" s="170"/>
      <c r="I10" s="173"/>
      <c r="J10" s="178"/>
      <c r="K10" s="172"/>
      <c r="L10" s="173"/>
      <c r="M10" s="178"/>
      <c r="N10" s="172">
        <f>N11</f>
        <v>9000</v>
      </c>
      <c r="O10" s="172">
        <f>O11</f>
        <v>9000</v>
      </c>
      <c r="P10" s="185">
        <f>O10/N10</f>
        <v>1</v>
      </c>
      <c r="Q10" s="175"/>
      <c r="R10" s="175"/>
      <c r="U10" s="186"/>
      <c r="W10" s="182"/>
      <c r="X10" s="183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I10" s="175"/>
      <c r="DJ10" s="175"/>
      <c r="DK10" s="175"/>
      <c r="DL10" s="175"/>
      <c r="DM10" s="175"/>
      <c r="DN10" s="175"/>
      <c r="DO10" s="175"/>
      <c r="DP10" s="175"/>
      <c r="DQ10" s="175"/>
      <c r="DR10" s="175"/>
      <c r="DS10" s="175"/>
      <c r="DT10" s="175"/>
      <c r="DU10" s="175"/>
      <c r="DV10" s="175"/>
      <c r="DW10" s="175"/>
      <c r="DX10" s="175"/>
      <c r="DY10" s="175"/>
      <c r="DZ10" s="175"/>
      <c r="EA10" s="175"/>
      <c r="EB10" s="175"/>
      <c r="EC10" s="175"/>
      <c r="ED10" s="175"/>
      <c r="EE10" s="175"/>
      <c r="EF10" s="175"/>
      <c r="EG10" s="175"/>
      <c r="EH10" s="175"/>
      <c r="EI10" s="175"/>
      <c r="EJ10" s="175"/>
      <c r="EK10" s="175"/>
      <c r="EL10" s="175"/>
      <c r="EM10" s="175"/>
      <c r="EN10" s="175"/>
      <c r="EO10" s="175"/>
      <c r="EP10" s="175"/>
      <c r="EQ10" s="175"/>
      <c r="ER10" s="175"/>
      <c r="ES10" s="175"/>
      <c r="ET10" s="175"/>
      <c r="EU10" s="175"/>
      <c r="EV10" s="175"/>
      <c r="EW10" s="175"/>
      <c r="EX10" s="175"/>
      <c r="EY10" s="175"/>
      <c r="EZ10" s="175"/>
      <c r="FA10" s="175"/>
      <c r="FB10" s="175"/>
      <c r="FC10" s="175"/>
      <c r="FD10" s="175"/>
      <c r="FE10" s="175"/>
      <c r="FF10" s="175"/>
      <c r="FG10" s="175"/>
      <c r="FH10" s="175"/>
      <c r="FI10" s="175"/>
      <c r="FJ10" s="175"/>
      <c r="FK10" s="175"/>
      <c r="FL10" s="175"/>
      <c r="FM10" s="175"/>
      <c r="FN10" s="175"/>
      <c r="FO10" s="175"/>
      <c r="FP10" s="175"/>
      <c r="FQ10" s="175"/>
      <c r="FR10" s="175"/>
      <c r="FS10" s="175"/>
      <c r="FT10" s="175"/>
      <c r="FU10" s="175"/>
      <c r="FV10" s="175"/>
      <c r="FW10" s="175"/>
      <c r="FX10" s="175"/>
      <c r="FY10" s="175"/>
    </row>
    <row r="11" spans="1:26" s="24" customFormat="1" ht="20.25">
      <c r="A11" s="66"/>
      <c r="B11" s="77">
        <v>60014</v>
      </c>
      <c r="C11" s="77"/>
      <c r="D11" s="78" t="s">
        <v>18</v>
      </c>
      <c r="E11" s="79">
        <f>E12</f>
        <v>9000</v>
      </c>
      <c r="F11" s="79">
        <f>F12</f>
        <v>9000</v>
      </c>
      <c r="G11" s="47">
        <f t="shared" si="1"/>
        <v>1</v>
      </c>
      <c r="H11" s="79"/>
      <c r="I11" s="79"/>
      <c r="J11" s="52"/>
      <c r="K11" s="80"/>
      <c r="L11" s="79"/>
      <c r="M11" s="81"/>
      <c r="N11" s="80">
        <f>N12</f>
        <v>9000</v>
      </c>
      <c r="O11" s="79">
        <f>O12</f>
        <v>9000</v>
      </c>
      <c r="P11" s="82">
        <f>O11/N11</f>
        <v>1</v>
      </c>
      <c r="S11" s="55"/>
      <c r="T11" s="60"/>
      <c r="U11" s="61"/>
      <c r="V11" s="76"/>
      <c r="W11" s="63"/>
      <c r="X11" s="64"/>
      <c r="Y11" s="55"/>
      <c r="Z11" s="55"/>
    </row>
    <row r="12" spans="1:26" s="24" customFormat="1" ht="81.75" thickBot="1">
      <c r="A12" s="66"/>
      <c r="B12" s="66"/>
      <c r="C12" s="57">
        <v>2320</v>
      </c>
      <c r="D12" s="58" t="s">
        <v>140</v>
      </c>
      <c r="E12" s="51">
        <v>9000</v>
      </c>
      <c r="F12" s="51">
        <v>9000</v>
      </c>
      <c r="G12" s="70">
        <f t="shared" si="1"/>
        <v>1</v>
      </c>
      <c r="H12" s="71"/>
      <c r="I12" s="51"/>
      <c r="J12" s="72"/>
      <c r="K12" s="50"/>
      <c r="L12" s="51"/>
      <c r="M12" s="72"/>
      <c r="N12" s="50">
        <v>9000</v>
      </c>
      <c r="O12" s="51">
        <v>9000</v>
      </c>
      <c r="P12" s="83">
        <f>O12/N12</f>
        <v>1</v>
      </c>
      <c r="S12" s="55"/>
      <c r="T12" s="60"/>
      <c r="U12" s="61"/>
      <c r="V12" s="76"/>
      <c r="W12" s="63"/>
      <c r="X12" s="64"/>
      <c r="Y12" s="55"/>
      <c r="Z12" s="55"/>
    </row>
    <row r="13" spans="1:26" s="175" customFormat="1" ht="30" customHeight="1" thickBot="1">
      <c r="A13" s="112">
        <v>700</v>
      </c>
      <c r="B13" s="112"/>
      <c r="C13" s="167"/>
      <c r="D13" s="112" t="s">
        <v>5</v>
      </c>
      <c r="E13" s="173">
        <f>E14</f>
        <v>247200</v>
      </c>
      <c r="F13" s="173">
        <f>F14</f>
        <v>388895.88000000006</v>
      </c>
      <c r="G13" s="169">
        <f t="shared" si="1"/>
        <v>1.5732033980582527</v>
      </c>
      <c r="H13" s="173">
        <f>H14</f>
        <v>247200</v>
      </c>
      <c r="I13" s="173">
        <f>I14</f>
        <v>388895.88000000006</v>
      </c>
      <c r="J13" s="178">
        <f>I13/H13</f>
        <v>1.5732033980582527</v>
      </c>
      <c r="K13" s="172"/>
      <c r="L13" s="173"/>
      <c r="M13" s="178"/>
      <c r="N13" s="172"/>
      <c r="O13" s="173"/>
      <c r="P13" s="179"/>
      <c r="S13" s="180"/>
      <c r="T13" s="180"/>
      <c r="U13" s="186"/>
      <c r="V13" s="180"/>
      <c r="W13" s="182"/>
      <c r="X13" s="183"/>
      <c r="Y13" s="180"/>
      <c r="Z13" s="180"/>
    </row>
    <row r="14" spans="1:26" s="24" customFormat="1" ht="20.25">
      <c r="A14" s="84"/>
      <c r="B14" s="45">
        <v>70005</v>
      </c>
      <c r="C14" s="44"/>
      <c r="D14" s="45" t="s">
        <v>17</v>
      </c>
      <c r="E14" s="67">
        <f>SUM(E15:E20)</f>
        <v>247200</v>
      </c>
      <c r="F14" s="67">
        <f>SUM(F15:F20)</f>
        <v>388895.88000000006</v>
      </c>
      <c r="G14" s="47">
        <f t="shared" si="1"/>
        <v>1.5732033980582527</v>
      </c>
      <c r="H14" s="67">
        <f>SUM(H15:H20)</f>
        <v>247200</v>
      </c>
      <c r="I14" s="67">
        <f>SUM(I15:I20)</f>
        <v>388895.88000000006</v>
      </c>
      <c r="J14" s="52">
        <f>I15/H15</f>
        <v>0.8666590000000001</v>
      </c>
      <c r="K14" s="68"/>
      <c r="L14" s="67"/>
      <c r="M14" s="52"/>
      <c r="N14" s="68"/>
      <c r="O14" s="67"/>
      <c r="P14" s="69"/>
      <c r="S14" s="55"/>
      <c r="T14" s="60"/>
      <c r="U14" s="75"/>
      <c r="V14" s="76"/>
      <c r="W14" s="63"/>
      <c r="X14" s="64"/>
      <c r="Y14" s="55"/>
      <c r="Z14" s="55"/>
    </row>
    <row r="15" spans="1:181" s="86" customFormat="1" ht="40.5">
      <c r="A15" s="84"/>
      <c r="B15" s="45"/>
      <c r="C15" s="57" t="str">
        <f>"0470"</f>
        <v>0470</v>
      </c>
      <c r="D15" s="58" t="s">
        <v>150</v>
      </c>
      <c r="E15" s="51">
        <v>10000</v>
      </c>
      <c r="F15" s="51">
        <v>8666.59</v>
      </c>
      <c r="G15" s="70">
        <f t="shared" si="1"/>
        <v>0.8666590000000001</v>
      </c>
      <c r="H15" s="71">
        <v>10000</v>
      </c>
      <c r="I15" s="51">
        <v>8666.59</v>
      </c>
      <c r="J15" s="72">
        <f>I15/H15</f>
        <v>0.8666590000000001</v>
      </c>
      <c r="K15" s="68"/>
      <c r="L15" s="67"/>
      <c r="M15" s="52"/>
      <c r="N15" s="68"/>
      <c r="O15" s="67"/>
      <c r="P15" s="69"/>
      <c r="Q15" s="24"/>
      <c r="R15" s="24"/>
      <c r="S15" s="24"/>
      <c r="T15" s="60"/>
      <c r="U15" s="24"/>
      <c r="V15" s="24"/>
      <c r="W15" s="24"/>
      <c r="X15" s="85"/>
      <c r="Y15" s="55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</row>
    <row r="16" spans="1:25" s="24" customFormat="1" ht="101.25">
      <c r="A16" s="84"/>
      <c r="B16" s="45"/>
      <c r="C16" s="57" t="str">
        <f>"0750"</f>
        <v>0750</v>
      </c>
      <c r="D16" s="58" t="s">
        <v>151</v>
      </c>
      <c r="E16" s="51">
        <v>45000</v>
      </c>
      <c r="F16" s="51">
        <v>50548.85</v>
      </c>
      <c r="G16" s="70">
        <f t="shared" si="1"/>
        <v>1.1233077777777778</v>
      </c>
      <c r="H16" s="71">
        <v>45000</v>
      </c>
      <c r="I16" s="51">
        <v>50548.85</v>
      </c>
      <c r="J16" s="72">
        <f>I16/H16</f>
        <v>1.1233077777777778</v>
      </c>
      <c r="K16" s="50"/>
      <c r="L16" s="51"/>
      <c r="M16" s="72"/>
      <c r="N16" s="50"/>
      <c r="O16" s="51"/>
      <c r="P16" s="73"/>
      <c r="Y16" s="55"/>
    </row>
    <row r="17" spans="1:25" s="24" customFormat="1" ht="60.75">
      <c r="A17" s="84"/>
      <c r="B17" s="45"/>
      <c r="C17" s="57" t="str">
        <f>"0760"</f>
        <v>0760</v>
      </c>
      <c r="D17" s="58" t="s">
        <v>109</v>
      </c>
      <c r="E17" s="51">
        <v>10000</v>
      </c>
      <c r="F17" s="51">
        <v>2142.47</v>
      </c>
      <c r="G17" s="70">
        <f t="shared" si="1"/>
        <v>0.214247</v>
      </c>
      <c r="H17" s="71">
        <v>10000</v>
      </c>
      <c r="I17" s="51">
        <v>2142.47</v>
      </c>
      <c r="J17" s="72">
        <f>I17/H17</f>
        <v>0.214247</v>
      </c>
      <c r="K17" s="50"/>
      <c r="L17" s="51"/>
      <c r="M17" s="72"/>
      <c r="N17" s="50"/>
      <c r="O17" s="51"/>
      <c r="P17" s="73"/>
      <c r="Y17" s="55"/>
    </row>
    <row r="18" spans="1:25" s="24" customFormat="1" ht="60.75">
      <c r="A18" s="84"/>
      <c r="B18" s="45"/>
      <c r="C18" s="57" t="str">
        <f>"0770"</f>
        <v>0770</v>
      </c>
      <c r="D18" s="58" t="s">
        <v>141</v>
      </c>
      <c r="E18" s="51">
        <v>182000</v>
      </c>
      <c r="F18" s="51">
        <v>322877.15</v>
      </c>
      <c r="G18" s="70">
        <f aca="true" t="shared" si="2" ref="G18:G23">F18/E18</f>
        <v>1.7740502747252749</v>
      </c>
      <c r="H18" s="71">
        <v>182000</v>
      </c>
      <c r="I18" s="51">
        <v>322877.15</v>
      </c>
      <c r="J18" s="72">
        <f aca="true" t="shared" si="3" ref="J18:J23">I18/H18</f>
        <v>1.7740502747252749</v>
      </c>
      <c r="K18" s="50"/>
      <c r="L18" s="51"/>
      <c r="M18" s="72"/>
      <c r="N18" s="50"/>
      <c r="O18" s="51"/>
      <c r="P18" s="73"/>
      <c r="Y18" s="55"/>
    </row>
    <row r="19" spans="1:16" s="24" customFormat="1" ht="20.25">
      <c r="A19" s="84"/>
      <c r="B19" s="45"/>
      <c r="C19" s="44" t="str">
        <f>"0920"</f>
        <v>0920</v>
      </c>
      <c r="D19" s="87" t="s">
        <v>24</v>
      </c>
      <c r="E19" s="51">
        <v>100</v>
      </c>
      <c r="F19" s="51">
        <v>1052.82</v>
      </c>
      <c r="G19" s="70">
        <f t="shared" si="2"/>
        <v>10.5282</v>
      </c>
      <c r="H19" s="88">
        <v>100</v>
      </c>
      <c r="I19" s="51">
        <v>1052.82</v>
      </c>
      <c r="J19" s="72">
        <f t="shared" si="3"/>
        <v>10.5282</v>
      </c>
      <c r="K19" s="50"/>
      <c r="L19" s="51"/>
      <c r="M19" s="72"/>
      <c r="N19" s="50"/>
      <c r="O19" s="51"/>
      <c r="P19" s="73"/>
    </row>
    <row r="20" spans="1:16" s="24" customFormat="1" ht="21" thickBot="1">
      <c r="A20" s="84"/>
      <c r="B20" s="45"/>
      <c r="C20" s="44" t="str">
        <f>"0970"</f>
        <v>0970</v>
      </c>
      <c r="D20" s="87" t="s">
        <v>40</v>
      </c>
      <c r="E20" s="51">
        <v>100</v>
      </c>
      <c r="F20" s="51">
        <v>3608</v>
      </c>
      <c r="G20" s="89">
        <f t="shared" si="2"/>
        <v>36.08</v>
      </c>
      <c r="H20" s="90">
        <v>100</v>
      </c>
      <c r="I20" s="51">
        <v>3608</v>
      </c>
      <c r="J20" s="72">
        <f t="shared" si="3"/>
        <v>36.08</v>
      </c>
      <c r="K20" s="50"/>
      <c r="L20" s="51"/>
      <c r="M20" s="72"/>
      <c r="N20" s="50"/>
      <c r="O20" s="51"/>
      <c r="P20" s="73"/>
    </row>
    <row r="21" spans="1:16" s="175" customFormat="1" ht="30" customHeight="1" thickBot="1">
      <c r="A21" s="112">
        <v>710</v>
      </c>
      <c r="B21" s="112"/>
      <c r="C21" s="167"/>
      <c r="D21" s="112" t="s">
        <v>34</v>
      </c>
      <c r="E21" s="173">
        <f>E22+E26</f>
        <v>150800</v>
      </c>
      <c r="F21" s="173">
        <f>F22+F26</f>
        <v>182891.97999999998</v>
      </c>
      <c r="G21" s="187">
        <f t="shared" si="2"/>
        <v>1.2128115384615383</v>
      </c>
      <c r="H21" s="173">
        <f>H26</f>
        <v>135000</v>
      </c>
      <c r="I21" s="173">
        <f>I26</f>
        <v>167091.97999999998</v>
      </c>
      <c r="J21" s="178">
        <f t="shared" si="3"/>
        <v>1.2377183703703702</v>
      </c>
      <c r="K21" s="172"/>
      <c r="L21" s="173"/>
      <c r="M21" s="178"/>
      <c r="N21" s="172">
        <f>N22</f>
        <v>15800</v>
      </c>
      <c r="O21" s="172">
        <f>O22</f>
        <v>15800</v>
      </c>
      <c r="P21" s="185">
        <f>O21/N21</f>
        <v>1</v>
      </c>
    </row>
    <row r="22" spans="1:16" s="24" customFormat="1" ht="20.25">
      <c r="A22" s="45"/>
      <c r="B22" s="45">
        <v>71035</v>
      </c>
      <c r="C22" s="44"/>
      <c r="D22" s="45" t="s">
        <v>35</v>
      </c>
      <c r="E22" s="67">
        <f>SUM(E23:E25)</f>
        <v>15800</v>
      </c>
      <c r="F22" s="67">
        <f>SUM(F23:F25)</f>
        <v>15800</v>
      </c>
      <c r="G22" s="47">
        <f t="shared" si="2"/>
        <v>1</v>
      </c>
      <c r="H22" s="67" t="s">
        <v>168</v>
      </c>
      <c r="I22" s="67" t="s">
        <v>168</v>
      </c>
      <c r="J22" s="52" t="s">
        <v>168</v>
      </c>
      <c r="K22" s="68"/>
      <c r="L22" s="67"/>
      <c r="M22" s="52"/>
      <c r="N22" s="68">
        <f>N25</f>
        <v>15800</v>
      </c>
      <c r="O22" s="68">
        <f>O25</f>
        <v>15800</v>
      </c>
      <c r="P22" s="82">
        <f>O22/N22</f>
        <v>1</v>
      </c>
    </row>
    <row r="23" spans="1:16" s="24" customFormat="1" ht="101.25" hidden="1">
      <c r="A23" s="91"/>
      <c r="B23" s="91"/>
      <c r="C23" s="57" t="str">
        <f>"0750"</f>
        <v>0750</v>
      </c>
      <c r="D23" s="92" t="s">
        <v>151</v>
      </c>
      <c r="E23" s="51">
        <v>0</v>
      </c>
      <c r="F23" s="51">
        <v>0</v>
      </c>
      <c r="G23" s="70" t="e">
        <f t="shared" si="2"/>
        <v>#DIV/0!</v>
      </c>
      <c r="H23" s="71">
        <v>0</v>
      </c>
      <c r="I23" s="51">
        <v>0</v>
      </c>
      <c r="J23" s="72" t="e">
        <f t="shared" si="3"/>
        <v>#DIV/0!</v>
      </c>
      <c r="K23" s="50"/>
      <c r="L23" s="51"/>
      <c r="M23" s="72"/>
      <c r="N23" s="50"/>
      <c r="O23" s="50"/>
      <c r="P23" s="73"/>
    </row>
    <row r="24" spans="1:16" s="24" customFormat="1" ht="20.25" hidden="1">
      <c r="A24" s="84"/>
      <c r="B24" s="45"/>
      <c r="C24" s="44" t="str">
        <f>"0830"</f>
        <v>0830</v>
      </c>
      <c r="D24" s="91" t="s">
        <v>6</v>
      </c>
      <c r="E24" s="51">
        <v>0</v>
      </c>
      <c r="F24" s="51">
        <v>0</v>
      </c>
      <c r="G24" s="70"/>
      <c r="H24" s="71">
        <v>0</v>
      </c>
      <c r="I24" s="51">
        <v>0</v>
      </c>
      <c r="J24" s="72"/>
      <c r="K24" s="50"/>
      <c r="L24" s="51"/>
      <c r="M24" s="72"/>
      <c r="N24" s="50"/>
      <c r="O24" s="51"/>
      <c r="P24" s="73"/>
    </row>
    <row r="25" spans="1:16" s="24" customFormat="1" ht="81">
      <c r="A25" s="84"/>
      <c r="B25" s="45"/>
      <c r="C25" s="57">
        <v>2020</v>
      </c>
      <c r="D25" s="58" t="s">
        <v>163</v>
      </c>
      <c r="E25" s="51">
        <v>15800</v>
      </c>
      <c r="F25" s="51">
        <v>15800</v>
      </c>
      <c r="G25" s="70">
        <f>F25/E25</f>
        <v>1</v>
      </c>
      <c r="H25" s="71"/>
      <c r="I25" s="51"/>
      <c r="J25" s="93"/>
      <c r="K25" s="71"/>
      <c r="L25" s="51"/>
      <c r="M25" s="72"/>
      <c r="N25" s="50">
        <v>15800</v>
      </c>
      <c r="O25" s="51">
        <v>15800</v>
      </c>
      <c r="P25" s="73">
        <f>O25/N25</f>
        <v>1</v>
      </c>
    </row>
    <row r="26" spans="1:16" s="24" customFormat="1" ht="20.25">
      <c r="A26" s="84"/>
      <c r="B26" s="78">
        <v>71097</v>
      </c>
      <c r="C26" s="77"/>
      <c r="D26" s="78" t="s">
        <v>147</v>
      </c>
      <c r="E26" s="79">
        <f>E27+E28+E30</f>
        <v>135000</v>
      </c>
      <c r="F26" s="79">
        <f>F27+F28+F30</f>
        <v>167091.97999999998</v>
      </c>
      <c r="G26" s="94">
        <f>F26/E26</f>
        <v>1.2377183703703702</v>
      </c>
      <c r="H26" s="95">
        <f>H27+H28+H30</f>
        <v>135000</v>
      </c>
      <c r="I26" s="95">
        <f>I27+I28+I30</f>
        <v>167091.97999999998</v>
      </c>
      <c r="J26" s="96">
        <f>I26/H26</f>
        <v>1.2377183703703702</v>
      </c>
      <c r="K26" s="97"/>
      <c r="L26" s="98"/>
      <c r="M26" s="99"/>
      <c r="N26" s="100"/>
      <c r="O26" s="98"/>
      <c r="P26" s="101"/>
    </row>
    <row r="27" spans="1:16" s="24" customFormat="1" ht="20.25">
      <c r="A27" s="84"/>
      <c r="B27" s="45"/>
      <c r="C27" s="43" t="s">
        <v>165</v>
      </c>
      <c r="D27" s="87" t="s">
        <v>21</v>
      </c>
      <c r="E27" s="51">
        <v>0</v>
      </c>
      <c r="F27" s="51">
        <v>1775.5</v>
      </c>
      <c r="G27" s="47"/>
      <c r="H27" s="71">
        <v>0</v>
      </c>
      <c r="I27" s="51">
        <v>1775.5</v>
      </c>
      <c r="J27" s="102"/>
      <c r="K27" s="71"/>
      <c r="L27" s="51"/>
      <c r="M27" s="72"/>
      <c r="N27" s="50"/>
      <c r="O27" s="51"/>
      <c r="P27" s="73"/>
    </row>
    <row r="28" spans="1:16" s="24" customFormat="1" ht="20.25">
      <c r="A28" s="210"/>
      <c r="B28" s="211"/>
      <c r="C28" s="449" t="s">
        <v>166</v>
      </c>
      <c r="D28" s="212" t="s">
        <v>24</v>
      </c>
      <c r="E28" s="213">
        <v>0</v>
      </c>
      <c r="F28" s="213">
        <v>2350.02</v>
      </c>
      <c r="G28" s="450"/>
      <c r="H28" s="214">
        <v>0</v>
      </c>
      <c r="I28" s="213">
        <v>2350.02</v>
      </c>
      <c r="J28" s="431"/>
      <c r="K28" s="214"/>
      <c r="L28" s="213"/>
      <c r="M28" s="215"/>
      <c r="N28" s="216"/>
      <c r="O28" s="213"/>
      <c r="P28" s="451"/>
    </row>
    <row r="29" spans="1:16" s="24" customFormat="1" ht="21" thickBot="1">
      <c r="A29" s="1">
        <v>1</v>
      </c>
      <c r="B29" s="1">
        <v>2</v>
      </c>
      <c r="C29" s="233">
        <v>3</v>
      </c>
      <c r="D29" s="1">
        <v>4</v>
      </c>
      <c r="E29" s="2">
        <v>5</v>
      </c>
      <c r="F29" s="2">
        <v>6</v>
      </c>
      <c r="G29" s="234">
        <v>7</v>
      </c>
      <c r="H29" s="235">
        <v>8</v>
      </c>
      <c r="I29" s="1">
        <v>9</v>
      </c>
      <c r="J29" s="236">
        <v>10</v>
      </c>
      <c r="K29" s="21">
        <v>11</v>
      </c>
      <c r="L29" s="1">
        <v>12</v>
      </c>
      <c r="M29" s="236">
        <v>13</v>
      </c>
      <c r="N29" s="21">
        <v>14</v>
      </c>
      <c r="O29" s="1">
        <v>15</v>
      </c>
      <c r="P29" s="1">
        <v>16</v>
      </c>
    </row>
    <row r="30" spans="1:181" s="55" customFormat="1" ht="21.75" thickBot="1" thickTop="1">
      <c r="A30" s="199"/>
      <c r="B30" s="200"/>
      <c r="C30" s="201" t="s">
        <v>167</v>
      </c>
      <c r="D30" s="202" t="s">
        <v>40</v>
      </c>
      <c r="E30" s="203">
        <v>135000</v>
      </c>
      <c r="F30" s="203">
        <v>162966.46</v>
      </c>
      <c r="G30" s="204">
        <f>F30/E30</f>
        <v>1.2071589629629629</v>
      </c>
      <c r="H30" s="205">
        <v>135000</v>
      </c>
      <c r="I30" s="203">
        <v>162966.46</v>
      </c>
      <c r="J30" s="206">
        <f>I30/H30</f>
        <v>1.2071589629629629</v>
      </c>
      <c r="K30" s="205"/>
      <c r="L30" s="203"/>
      <c r="M30" s="207"/>
      <c r="N30" s="208"/>
      <c r="O30" s="203"/>
      <c r="P30" s="209"/>
      <c r="Q30" s="24"/>
      <c r="R30" s="24"/>
      <c r="S30" s="24"/>
      <c r="T30" s="24"/>
      <c r="U30" s="24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</row>
    <row r="31" spans="1:181" s="55" customFormat="1" ht="30" customHeight="1" thickBot="1">
      <c r="A31" s="112">
        <v>750</v>
      </c>
      <c r="B31" s="112"/>
      <c r="C31" s="167"/>
      <c r="D31" s="112" t="s">
        <v>25</v>
      </c>
      <c r="E31" s="173">
        <f>E32+E35+E38+E41</f>
        <v>114839</v>
      </c>
      <c r="F31" s="173">
        <f>F32+F35+F38+F41</f>
        <v>127487.59999999999</v>
      </c>
      <c r="G31" s="169">
        <f aca="true" t="shared" si="4" ref="G31:G40">F31/E31</f>
        <v>1.110142024921847</v>
      </c>
      <c r="H31" s="173">
        <f>H32+H35+H38+H41</f>
        <v>18380</v>
      </c>
      <c r="I31" s="173">
        <f>I32+I35+I38+I41</f>
        <v>31028.6</v>
      </c>
      <c r="J31" s="188">
        <f>I31/H31</f>
        <v>1.6881719260065287</v>
      </c>
      <c r="K31" s="170">
        <f>SUM(K33)</f>
        <v>96459</v>
      </c>
      <c r="L31" s="173">
        <f>SUM(L33)</f>
        <v>96459</v>
      </c>
      <c r="M31" s="188">
        <f>L31/K31</f>
        <v>1</v>
      </c>
      <c r="N31" s="172"/>
      <c r="O31" s="173"/>
      <c r="P31" s="179"/>
      <c r="Q31" s="24"/>
      <c r="R31" s="24"/>
      <c r="S31" s="24"/>
      <c r="T31" s="24"/>
      <c r="U31" s="24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</row>
    <row r="32" spans="1:25" s="24" customFormat="1" ht="20.25">
      <c r="A32" s="104"/>
      <c r="B32" s="45">
        <v>75011</v>
      </c>
      <c r="C32" s="44"/>
      <c r="D32" s="45" t="s">
        <v>13</v>
      </c>
      <c r="E32" s="67">
        <f>SUM(E33:E34)</f>
        <v>98159</v>
      </c>
      <c r="F32" s="67">
        <f>SUM(F33:F34)</f>
        <v>99213.06</v>
      </c>
      <c r="G32" s="47">
        <f t="shared" si="4"/>
        <v>1.0107382919548895</v>
      </c>
      <c r="H32" s="67">
        <f>SUM(H33:H34)</f>
        <v>1700</v>
      </c>
      <c r="I32" s="67">
        <f>SUM(I33:I34)</f>
        <v>2754.06</v>
      </c>
      <c r="J32" s="52">
        <f>I32/H32</f>
        <v>1.620035294117647</v>
      </c>
      <c r="K32" s="68">
        <f>K33</f>
        <v>96459</v>
      </c>
      <c r="L32" s="68">
        <f>L33</f>
        <v>96459</v>
      </c>
      <c r="M32" s="52">
        <f>L32/K32</f>
        <v>1</v>
      </c>
      <c r="N32" s="68"/>
      <c r="O32" s="67"/>
      <c r="P32" s="69"/>
      <c r="Y32" s="55"/>
    </row>
    <row r="33" spans="1:25" s="24" customFormat="1" ht="81">
      <c r="A33" s="104"/>
      <c r="B33" s="45"/>
      <c r="C33" s="57">
        <v>2010</v>
      </c>
      <c r="D33" s="58" t="s">
        <v>157</v>
      </c>
      <c r="E33" s="51">
        <v>96459</v>
      </c>
      <c r="F33" s="51">
        <v>96459</v>
      </c>
      <c r="G33" s="70">
        <f t="shared" si="4"/>
        <v>1</v>
      </c>
      <c r="H33" s="71"/>
      <c r="I33" s="51"/>
      <c r="J33" s="72"/>
      <c r="K33" s="50">
        <v>96459</v>
      </c>
      <c r="L33" s="51">
        <v>96459</v>
      </c>
      <c r="M33" s="72">
        <f>L33/K33</f>
        <v>1</v>
      </c>
      <c r="N33" s="50"/>
      <c r="O33" s="51"/>
      <c r="P33" s="73"/>
      <c r="Y33" s="55"/>
    </row>
    <row r="34" spans="1:25" s="24" customFormat="1" ht="81">
      <c r="A34" s="104"/>
      <c r="B34" s="45"/>
      <c r="C34" s="57">
        <v>2360</v>
      </c>
      <c r="D34" s="58" t="s">
        <v>110</v>
      </c>
      <c r="E34" s="51">
        <v>1700</v>
      </c>
      <c r="F34" s="51">
        <v>2754.06</v>
      </c>
      <c r="G34" s="70">
        <f t="shared" si="4"/>
        <v>1.620035294117647</v>
      </c>
      <c r="H34" s="71">
        <v>1700</v>
      </c>
      <c r="I34" s="51">
        <v>2754.06</v>
      </c>
      <c r="J34" s="72">
        <f aca="true" t="shared" si="5" ref="J34:J42">I34/H34</f>
        <v>1.620035294117647</v>
      </c>
      <c r="K34" s="50"/>
      <c r="L34" s="71"/>
      <c r="M34" s="105"/>
      <c r="N34" s="50"/>
      <c r="O34" s="71"/>
      <c r="P34" s="106"/>
      <c r="T34" s="54"/>
      <c r="Y34" s="55"/>
    </row>
    <row r="35" spans="1:25" s="24" customFormat="1" ht="21" thickBot="1">
      <c r="A35" s="84"/>
      <c r="B35" s="78">
        <v>75023</v>
      </c>
      <c r="C35" s="77"/>
      <c r="D35" s="78" t="s">
        <v>26</v>
      </c>
      <c r="E35" s="79">
        <f>SUM(E36:E37)</f>
        <v>1400</v>
      </c>
      <c r="F35" s="79">
        <f>SUM(F36:F37)</f>
        <v>156.72</v>
      </c>
      <c r="G35" s="94">
        <f t="shared" si="4"/>
        <v>0.11194285714285714</v>
      </c>
      <c r="H35" s="79">
        <f>H36+H37</f>
        <v>1400</v>
      </c>
      <c r="I35" s="79">
        <f>SUM(I36:I37)</f>
        <v>156.72</v>
      </c>
      <c r="J35" s="81">
        <f t="shared" si="5"/>
        <v>0.11194285714285714</v>
      </c>
      <c r="K35" s="80"/>
      <c r="L35" s="80"/>
      <c r="M35" s="107"/>
      <c r="N35" s="80"/>
      <c r="O35" s="80"/>
      <c r="P35" s="108"/>
      <c r="Y35" s="55"/>
    </row>
    <row r="36" spans="1:181" s="74" customFormat="1" ht="21" thickBot="1">
      <c r="A36" s="84"/>
      <c r="B36" s="45"/>
      <c r="C36" s="44" t="str">
        <f>"0690"</f>
        <v>0690</v>
      </c>
      <c r="D36" s="87" t="s">
        <v>21</v>
      </c>
      <c r="E36" s="51">
        <v>400</v>
      </c>
      <c r="F36" s="51">
        <v>100</v>
      </c>
      <c r="G36" s="70">
        <f t="shared" si="4"/>
        <v>0.25</v>
      </c>
      <c r="H36" s="71">
        <v>400</v>
      </c>
      <c r="I36" s="51">
        <v>100</v>
      </c>
      <c r="J36" s="72">
        <f t="shared" si="5"/>
        <v>0.25</v>
      </c>
      <c r="K36" s="50"/>
      <c r="L36" s="51"/>
      <c r="M36" s="72"/>
      <c r="N36" s="50"/>
      <c r="O36" s="51"/>
      <c r="P36" s="73"/>
      <c r="Q36" s="54"/>
      <c r="R36" s="54"/>
      <c r="S36" s="54"/>
      <c r="T36" s="24"/>
      <c r="U36" s="24"/>
      <c r="V36" s="24"/>
      <c r="W36" s="24"/>
      <c r="X36" s="24"/>
      <c r="Y36" s="59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</row>
    <row r="37" spans="1:181" s="59" customFormat="1" ht="20.25">
      <c r="A37" s="84"/>
      <c r="B37" s="45"/>
      <c r="C37" s="44" t="str">
        <f>"0830"</f>
        <v>0830</v>
      </c>
      <c r="D37" s="87" t="s">
        <v>6</v>
      </c>
      <c r="E37" s="51">
        <v>1000</v>
      </c>
      <c r="F37" s="51">
        <v>56.72</v>
      </c>
      <c r="G37" s="70">
        <f t="shared" si="4"/>
        <v>0.05672</v>
      </c>
      <c r="H37" s="71">
        <v>1000</v>
      </c>
      <c r="I37" s="51">
        <v>56.72</v>
      </c>
      <c r="J37" s="72">
        <f t="shared" si="5"/>
        <v>0.05672</v>
      </c>
      <c r="K37" s="50"/>
      <c r="L37" s="51"/>
      <c r="M37" s="72"/>
      <c r="N37" s="50"/>
      <c r="O37" s="51"/>
      <c r="P37" s="73"/>
      <c r="Q37" s="54"/>
      <c r="R37" s="54"/>
      <c r="S37" s="54"/>
      <c r="T37" s="24"/>
      <c r="U37" s="24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</row>
    <row r="38" spans="1:25" s="24" customFormat="1" ht="21" thickBot="1">
      <c r="A38" s="84"/>
      <c r="B38" s="78">
        <v>75075</v>
      </c>
      <c r="C38" s="77"/>
      <c r="D38" s="78" t="s">
        <v>99</v>
      </c>
      <c r="E38" s="79">
        <f>E39+E40</f>
        <v>13280</v>
      </c>
      <c r="F38" s="79">
        <f>F39+F40</f>
        <v>23829.34</v>
      </c>
      <c r="G38" s="70">
        <f t="shared" si="4"/>
        <v>1.7943780120481927</v>
      </c>
      <c r="H38" s="79">
        <f>H39+H40</f>
        <v>13280</v>
      </c>
      <c r="I38" s="79">
        <f>I39+I40</f>
        <v>23829.34</v>
      </c>
      <c r="J38" s="72">
        <f t="shared" si="5"/>
        <v>1.7943780120481927</v>
      </c>
      <c r="K38" s="80"/>
      <c r="L38" s="80"/>
      <c r="M38" s="107"/>
      <c r="N38" s="80"/>
      <c r="O38" s="80"/>
      <c r="P38" s="108"/>
      <c r="Y38" s="55"/>
    </row>
    <row r="39" spans="1:181" s="74" customFormat="1" ht="41.25" thickBot="1">
      <c r="A39" s="84"/>
      <c r="B39" s="45"/>
      <c r="C39" s="43" t="s">
        <v>169</v>
      </c>
      <c r="D39" s="58" t="s">
        <v>170</v>
      </c>
      <c r="E39" s="51">
        <v>11640</v>
      </c>
      <c r="F39" s="51">
        <v>17690</v>
      </c>
      <c r="G39" s="70">
        <f t="shared" si="4"/>
        <v>1.5197594501718212</v>
      </c>
      <c r="H39" s="71">
        <v>11640</v>
      </c>
      <c r="I39" s="51">
        <v>17690</v>
      </c>
      <c r="J39" s="72">
        <f t="shared" si="5"/>
        <v>1.5197594501718212</v>
      </c>
      <c r="K39" s="68"/>
      <c r="L39" s="109"/>
      <c r="M39" s="110"/>
      <c r="N39" s="68"/>
      <c r="O39" s="109"/>
      <c r="P39" s="111"/>
      <c r="Q39" s="54"/>
      <c r="R39" s="54"/>
      <c r="S39" s="54"/>
      <c r="T39" s="24"/>
      <c r="U39" s="24"/>
      <c r="V39" s="24"/>
      <c r="W39" s="24"/>
      <c r="X39" s="24"/>
      <c r="Y39" s="59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</row>
    <row r="40" spans="1:25" s="24" customFormat="1" ht="20.25">
      <c r="A40" s="84"/>
      <c r="B40" s="45"/>
      <c r="C40" s="44" t="str">
        <f>"0970"</f>
        <v>0970</v>
      </c>
      <c r="D40" s="87" t="s">
        <v>40</v>
      </c>
      <c r="E40" s="51">
        <v>1640</v>
      </c>
      <c r="F40" s="51">
        <v>6139.34</v>
      </c>
      <c r="G40" s="70">
        <f t="shared" si="4"/>
        <v>3.7435</v>
      </c>
      <c r="H40" s="71">
        <v>1640</v>
      </c>
      <c r="I40" s="51">
        <v>6139.34</v>
      </c>
      <c r="J40" s="72">
        <f t="shared" si="5"/>
        <v>3.7435</v>
      </c>
      <c r="K40" s="50"/>
      <c r="L40" s="71"/>
      <c r="M40" s="105"/>
      <c r="N40" s="50"/>
      <c r="O40" s="71"/>
      <c r="P40" s="106"/>
      <c r="Y40" s="55"/>
    </row>
    <row r="41" spans="1:16" s="195" customFormat="1" ht="20.25">
      <c r="A41" s="84"/>
      <c r="B41" s="78">
        <v>75095</v>
      </c>
      <c r="C41" s="77"/>
      <c r="D41" s="78" t="s">
        <v>4</v>
      </c>
      <c r="E41" s="79">
        <f>E42</f>
        <v>2000</v>
      </c>
      <c r="F41" s="79">
        <f>F42</f>
        <v>4288.48</v>
      </c>
      <c r="G41" s="94">
        <f aca="true" t="shared" si="6" ref="G41:G49">F41/E41</f>
        <v>2.14424</v>
      </c>
      <c r="H41" s="79">
        <f>H42</f>
        <v>2000</v>
      </c>
      <c r="I41" s="79">
        <f>I42</f>
        <v>4288.48</v>
      </c>
      <c r="J41" s="81">
        <f t="shared" si="5"/>
        <v>2.14424</v>
      </c>
      <c r="K41" s="80"/>
      <c r="L41" s="80"/>
      <c r="M41" s="107"/>
      <c r="N41" s="80"/>
      <c r="O41" s="80"/>
      <c r="P41" s="108"/>
    </row>
    <row r="42" spans="1:16" s="24" customFormat="1" ht="21" thickBot="1">
      <c r="A42" s="84"/>
      <c r="B42" s="45"/>
      <c r="C42" s="44" t="str">
        <f>"0830"</f>
        <v>0830</v>
      </c>
      <c r="D42" s="87" t="s">
        <v>6</v>
      </c>
      <c r="E42" s="51">
        <v>2000</v>
      </c>
      <c r="F42" s="51">
        <v>4288.48</v>
      </c>
      <c r="G42" s="89">
        <f t="shared" si="6"/>
        <v>2.14424</v>
      </c>
      <c r="H42" s="71">
        <v>2000</v>
      </c>
      <c r="I42" s="51">
        <v>4288.48</v>
      </c>
      <c r="J42" s="72">
        <f t="shared" si="5"/>
        <v>2.14424</v>
      </c>
      <c r="K42" s="50"/>
      <c r="L42" s="51"/>
      <c r="M42" s="72"/>
      <c r="N42" s="50"/>
      <c r="O42" s="51"/>
      <c r="P42" s="73"/>
    </row>
    <row r="43" spans="1:16" s="24" customFormat="1" ht="70.5" customHeight="1" thickBot="1">
      <c r="A43" s="113">
        <v>751</v>
      </c>
      <c r="B43" s="113"/>
      <c r="C43" s="113"/>
      <c r="D43" s="113" t="s">
        <v>111</v>
      </c>
      <c r="E43" s="168">
        <f>E44+E46+E48</f>
        <v>18367</v>
      </c>
      <c r="F43" s="168">
        <f>F44+F46+F48</f>
        <v>16757</v>
      </c>
      <c r="G43" s="189">
        <f t="shared" si="6"/>
        <v>0.9123427886971198</v>
      </c>
      <c r="H43" s="190"/>
      <c r="I43" s="168"/>
      <c r="J43" s="191"/>
      <c r="K43" s="190">
        <f>K44+K46+K48</f>
        <v>18367</v>
      </c>
      <c r="L43" s="190">
        <f>L44+L46+L48</f>
        <v>16757</v>
      </c>
      <c r="M43" s="192">
        <f aca="true" t="shared" si="7" ref="M43:M49">L43/K43</f>
        <v>0.9123427886971198</v>
      </c>
      <c r="N43" s="193"/>
      <c r="O43" s="168"/>
      <c r="P43" s="194"/>
    </row>
    <row r="44" spans="1:16" s="24" customFormat="1" ht="40.5">
      <c r="A44" s="84"/>
      <c r="B44" s="114">
        <v>75101</v>
      </c>
      <c r="C44" s="45"/>
      <c r="D44" s="30" t="s">
        <v>112</v>
      </c>
      <c r="E44" s="67">
        <f>E45</f>
        <v>972</v>
      </c>
      <c r="F44" s="67">
        <f>F45</f>
        <v>972</v>
      </c>
      <c r="G44" s="47">
        <f t="shared" si="6"/>
        <v>1</v>
      </c>
      <c r="H44" s="109"/>
      <c r="I44" s="67"/>
      <c r="J44" s="102"/>
      <c r="K44" s="109">
        <f>K45</f>
        <v>972</v>
      </c>
      <c r="L44" s="67">
        <f>L45</f>
        <v>972</v>
      </c>
      <c r="M44" s="52">
        <f t="shared" si="7"/>
        <v>1</v>
      </c>
      <c r="N44" s="68"/>
      <c r="O44" s="67"/>
      <c r="P44" s="69"/>
    </row>
    <row r="45" spans="1:16" s="24" customFormat="1" ht="83.25" customHeight="1">
      <c r="A45" s="84"/>
      <c r="B45" s="368"/>
      <c r="C45" s="369">
        <v>2010</v>
      </c>
      <c r="D45" s="370" t="s">
        <v>157</v>
      </c>
      <c r="E45" s="380">
        <v>972</v>
      </c>
      <c r="F45" s="380">
        <v>972</v>
      </c>
      <c r="G45" s="89">
        <f t="shared" si="6"/>
        <v>1</v>
      </c>
      <c r="H45" s="371"/>
      <c r="I45" s="380"/>
      <c r="J45" s="142"/>
      <c r="K45" s="352">
        <v>972</v>
      </c>
      <c r="L45" s="380">
        <v>972</v>
      </c>
      <c r="M45" s="142">
        <f t="shared" si="7"/>
        <v>1</v>
      </c>
      <c r="N45" s="352"/>
      <c r="O45" s="380"/>
      <c r="P45" s="83"/>
    </row>
    <row r="46" spans="1:16" s="24" customFormat="1" ht="20.25">
      <c r="A46" s="84"/>
      <c r="B46" s="114">
        <v>75108</v>
      </c>
      <c r="C46" s="45"/>
      <c r="D46" s="30" t="s">
        <v>171</v>
      </c>
      <c r="E46" s="67">
        <f>E47</f>
        <v>6970</v>
      </c>
      <c r="F46" s="67">
        <f>F47</f>
        <v>6970</v>
      </c>
      <c r="G46" s="47">
        <f t="shared" si="6"/>
        <v>1</v>
      </c>
      <c r="H46" s="109"/>
      <c r="I46" s="67"/>
      <c r="J46" s="102"/>
      <c r="K46" s="109">
        <f>K47</f>
        <v>6970</v>
      </c>
      <c r="L46" s="67">
        <f>L47</f>
        <v>6970</v>
      </c>
      <c r="M46" s="52">
        <f t="shared" si="7"/>
        <v>1</v>
      </c>
      <c r="N46" s="68"/>
      <c r="O46" s="67"/>
      <c r="P46" s="69"/>
    </row>
    <row r="47" spans="1:16" s="24" customFormat="1" ht="81">
      <c r="A47" s="84"/>
      <c r="B47" s="45"/>
      <c r="C47" s="114">
        <v>2010</v>
      </c>
      <c r="D47" s="58" t="s">
        <v>157</v>
      </c>
      <c r="E47" s="51">
        <v>6970</v>
      </c>
      <c r="F47" s="51">
        <v>6970</v>
      </c>
      <c r="G47" s="70">
        <f t="shared" si="6"/>
        <v>1</v>
      </c>
      <c r="H47" s="71"/>
      <c r="I47" s="51"/>
      <c r="J47" s="72"/>
      <c r="K47" s="50">
        <v>6970</v>
      </c>
      <c r="L47" s="51">
        <v>6970</v>
      </c>
      <c r="M47" s="72">
        <f t="shared" si="7"/>
        <v>1</v>
      </c>
      <c r="N47" s="50"/>
      <c r="O47" s="51"/>
      <c r="P47" s="73"/>
    </row>
    <row r="48" spans="1:16" s="24" customFormat="1" ht="78.75" customHeight="1">
      <c r="A48" s="115" t="s">
        <v>168</v>
      </c>
      <c r="B48" s="116">
        <v>75109</v>
      </c>
      <c r="C48" s="116"/>
      <c r="D48" s="117" t="s">
        <v>152</v>
      </c>
      <c r="E48" s="79">
        <f>E49</f>
        <v>10425</v>
      </c>
      <c r="F48" s="79">
        <f>F49</f>
        <v>8815</v>
      </c>
      <c r="G48" s="94">
        <f t="shared" si="6"/>
        <v>0.8455635491606714</v>
      </c>
      <c r="H48" s="97"/>
      <c r="I48" s="98"/>
      <c r="J48" s="118"/>
      <c r="K48" s="95">
        <f>K49</f>
        <v>10425</v>
      </c>
      <c r="L48" s="119">
        <f>L49</f>
        <v>8815</v>
      </c>
      <c r="M48" s="96">
        <f t="shared" si="7"/>
        <v>0.8455635491606714</v>
      </c>
      <c r="N48" s="100"/>
      <c r="O48" s="120"/>
      <c r="P48" s="121"/>
    </row>
    <row r="49" spans="1:16" s="24" customFormat="1" ht="88.5" customHeight="1" thickBot="1">
      <c r="A49" s="84"/>
      <c r="B49" s="45"/>
      <c r="C49" s="114">
        <v>2010</v>
      </c>
      <c r="D49" s="58" t="s">
        <v>157</v>
      </c>
      <c r="E49" s="51">
        <v>10425</v>
      </c>
      <c r="F49" s="51">
        <v>8815</v>
      </c>
      <c r="G49" s="89">
        <f t="shared" si="6"/>
        <v>0.8455635491606714</v>
      </c>
      <c r="H49" s="71"/>
      <c r="I49" s="51"/>
      <c r="J49" s="122"/>
      <c r="K49" s="71">
        <v>10425</v>
      </c>
      <c r="L49" s="123">
        <v>8815</v>
      </c>
      <c r="M49" s="72">
        <f t="shared" si="7"/>
        <v>0.8455635491606714</v>
      </c>
      <c r="N49" s="50"/>
      <c r="O49" s="123"/>
      <c r="P49" s="84"/>
    </row>
    <row r="50" spans="1:16" s="24" customFormat="1" ht="84.75" customHeight="1" thickBot="1">
      <c r="A50" s="113">
        <v>756</v>
      </c>
      <c r="B50" s="113"/>
      <c r="C50" s="196"/>
      <c r="D50" s="113" t="s">
        <v>113</v>
      </c>
      <c r="E50" s="168">
        <f>E51+E55+E62+E72+E79</f>
        <v>3852452</v>
      </c>
      <c r="F50" s="168">
        <f>F51+F55+F62+F72+F79</f>
        <v>3921348.45</v>
      </c>
      <c r="G50" s="189">
        <f>$F:$F/$E:$E</f>
        <v>1.017883791933034</v>
      </c>
      <c r="H50" s="168">
        <f>H51+H55+H62+H72+H79</f>
        <v>3852452</v>
      </c>
      <c r="I50" s="168">
        <f>I51+I55+I62+I72+I79</f>
        <v>3921348.45</v>
      </c>
      <c r="J50" s="192">
        <f aca="true" t="shared" si="8" ref="J50:J55">I50/H50</f>
        <v>1.017883791933034</v>
      </c>
      <c r="K50" s="193"/>
      <c r="L50" s="168"/>
      <c r="M50" s="192"/>
      <c r="N50" s="193"/>
      <c r="O50" s="168"/>
      <c r="P50" s="194"/>
    </row>
    <row r="51" spans="1:16" s="24" customFormat="1" ht="40.5">
      <c r="A51" s="453"/>
      <c r="B51" s="421">
        <v>75601</v>
      </c>
      <c r="C51" s="454"/>
      <c r="D51" s="458" t="s">
        <v>114</v>
      </c>
      <c r="E51" s="423">
        <f>E53+E54</f>
        <v>3600</v>
      </c>
      <c r="F51" s="423">
        <f>F53+F54</f>
        <v>3845.1099999999997</v>
      </c>
      <c r="G51" s="455">
        <f>F51/E51</f>
        <v>1.068086111111111</v>
      </c>
      <c r="H51" s="423">
        <f>H53+H54</f>
        <v>3600</v>
      </c>
      <c r="I51" s="423">
        <f>I53+I54</f>
        <v>3845.1099999999997</v>
      </c>
      <c r="J51" s="425">
        <f t="shared" si="8"/>
        <v>1.068086111111111</v>
      </c>
      <c r="K51" s="456"/>
      <c r="L51" s="423"/>
      <c r="M51" s="457"/>
      <c r="N51" s="456"/>
      <c r="O51" s="423"/>
      <c r="P51" s="421"/>
    </row>
    <row r="52" spans="1:16" s="24" customFormat="1" ht="21" thickBot="1">
      <c r="A52" s="1">
        <v>1</v>
      </c>
      <c r="B52" s="1">
        <v>2</v>
      </c>
      <c r="C52" s="233">
        <v>3</v>
      </c>
      <c r="D52" s="1">
        <v>4</v>
      </c>
      <c r="E52" s="2">
        <v>5</v>
      </c>
      <c r="F52" s="2">
        <v>6</v>
      </c>
      <c r="G52" s="234">
        <v>7</v>
      </c>
      <c r="H52" s="235">
        <v>8</v>
      </c>
      <c r="I52" s="1">
        <v>9</v>
      </c>
      <c r="J52" s="236">
        <v>10</v>
      </c>
      <c r="K52" s="21">
        <v>11</v>
      </c>
      <c r="L52" s="1">
        <v>12</v>
      </c>
      <c r="M52" s="236">
        <v>13</v>
      </c>
      <c r="N52" s="21">
        <v>14</v>
      </c>
      <c r="O52" s="1">
        <v>15</v>
      </c>
      <c r="P52" s="1">
        <v>16</v>
      </c>
    </row>
    <row r="53" spans="1:16" s="24" customFormat="1" ht="41.25" thickTop="1">
      <c r="A53" s="459"/>
      <c r="B53" s="460"/>
      <c r="C53" s="461" t="str">
        <f>"0350"</f>
        <v>0350</v>
      </c>
      <c r="D53" s="462" t="s">
        <v>115</v>
      </c>
      <c r="E53" s="463">
        <v>3500</v>
      </c>
      <c r="F53" s="463">
        <v>3834.7</v>
      </c>
      <c r="G53" s="464">
        <f>F53/E53</f>
        <v>1.0956285714285714</v>
      </c>
      <c r="H53" s="465">
        <v>3500</v>
      </c>
      <c r="I53" s="463">
        <v>3834.7</v>
      </c>
      <c r="J53" s="466">
        <f t="shared" si="8"/>
        <v>1.0956285714285714</v>
      </c>
      <c r="K53" s="467"/>
      <c r="L53" s="463"/>
      <c r="M53" s="468"/>
      <c r="N53" s="467"/>
      <c r="O53" s="463"/>
      <c r="P53" s="469"/>
    </row>
    <row r="54" spans="1:16" s="24" customFormat="1" ht="40.5">
      <c r="A54" s="84"/>
      <c r="B54" s="368"/>
      <c r="C54" s="470" t="str">
        <f>"0910"</f>
        <v>0910</v>
      </c>
      <c r="D54" s="370" t="s">
        <v>116</v>
      </c>
      <c r="E54" s="380">
        <v>100</v>
      </c>
      <c r="F54" s="380">
        <v>10.41</v>
      </c>
      <c r="G54" s="89">
        <f>F54/E54</f>
        <v>0.1041</v>
      </c>
      <c r="H54" s="371">
        <v>100</v>
      </c>
      <c r="I54" s="380">
        <v>10.41</v>
      </c>
      <c r="J54" s="142">
        <f t="shared" si="8"/>
        <v>0.1041</v>
      </c>
      <c r="K54" s="352"/>
      <c r="L54" s="380"/>
      <c r="M54" s="471"/>
      <c r="N54" s="352"/>
      <c r="O54" s="380"/>
      <c r="P54" s="378"/>
    </row>
    <row r="55" spans="1:25" s="24" customFormat="1" ht="81.75" thickBot="1">
      <c r="A55" s="84"/>
      <c r="B55" s="114">
        <v>75615</v>
      </c>
      <c r="C55" s="44"/>
      <c r="D55" s="30" t="s">
        <v>117</v>
      </c>
      <c r="E55" s="67">
        <f>SUM(E56:E61)</f>
        <v>1028300</v>
      </c>
      <c r="F55" s="67">
        <f>SUM(F56:F61)</f>
        <v>937957.58</v>
      </c>
      <c r="G55" s="47">
        <f>F55/E55</f>
        <v>0.9121439074200136</v>
      </c>
      <c r="H55" s="67">
        <f>SUM(H56:H61)</f>
        <v>1028300</v>
      </c>
      <c r="I55" s="67">
        <f>SUM(I56:I61)</f>
        <v>937957.58</v>
      </c>
      <c r="J55" s="52">
        <f t="shared" si="8"/>
        <v>0.9121439074200136</v>
      </c>
      <c r="K55" s="68"/>
      <c r="L55" s="67"/>
      <c r="M55" s="52"/>
      <c r="N55" s="68"/>
      <c r="O55" s="67"/>
      <c r="P55" s="69"/>
      <c r="Y55" s="55"/>
    </row>
    <row r="56" spans="1:181" s="74" customFormat="1" ht="21" thickBot="1">
      <c r="A56" s="84"/>
      <c r="B56" s="45"/>
      <c r="C56" s="44" t="str">
        <f>"0310"</f>
        <v>0310</v>
      </c>
      <c r="D56" s="87" t="s">
        <v>10</v>
      </c>
      <c r="E56" s="51">
        <v>713000</v>
      </c>
      <c r="F56" s="51">
        <v>641299.95</v>
      </c>
      <c r="G56" s="70">
        <f aca="true" t="shared" si="9" ref="G56:G61">F56/E56</f>
        <v>0.8994389200561009</v>
      </c>
      <c r="H56" s="71">
        <v>713000</v>
      </c>
      <c r="I56" s="51">
        <v>641299.95</v>
      </c>
      <c r="J56" s="72">
        <f aca="true" t="shared" si="10" ref="J56:J61">I56/H56</f>
        <v>0.8994389200561009</v>
      </c>
      <c r="K56" s="50"/>
      <c r="L56" s="51"/>
      <c r="M56" s="124"/>
      <c r="N56" s="50"/>
      <c r="O56" s="51"/>
      <c r="P56" s="91"/>
      <c r="Q56" s="54"/>
      <c r="R56" s="54"/>
      <c r="S56" s="54"/>
      <c r="T56" s="54"/>
      <c r="U56" s="59"/>
      <c r="V56" s="59"/>
      <c r="W56" s="59"/>
      <c r="X56" s="59"/>
      <c r="Y56" s="59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</row>
    <row r="57" spans="1:16" s="24" customFormat="1" ht="20.25">
      <c r="A57" s="84"/>
      <c r="B57" s="45"/>
      <c r="C57" s="44" t="str">
        <f>"0320"</f>
        <v>0320</v>
      </c>
      <c r="D57" s="87" t="s">
        <v>8</v>
      </c>
      <c r="E57" s="51">
        <v>149000</v>
      </c>
      <c r="F57" s="51">
        <v>129829.01</v>
      </c>
      <c r="G57" s="70">
        <f t="shared" si="9"/>
        <v>0.8713356375838925</v>
      </c>
      <c r="H57" s="71">
        <v>149000</v>
      </c>
      <c r="I57" s="51">
        <v>129829.01</v>
      </c>
      <c r="J57" s="72">
        <f t="shared" si="10"/>
        <v>0.8713356375838925</v>
      </c>
      <c r="K57" s="50"/>
      <c r="L57" s="51"/>
      <c r="M57" s="72"/>
      <c r="N57" s="50"/>
      <c r="O57" s="51"/>
      <c r="P57" s="73"/>
    </row>
    <row r="58" spans="1:181" s="59" customFormat="1" ht="20.25">
      <c r="A58" s="84"/>
      <c r="B58" s="45"/>
      <c r="C58" s="44" t="str">
        <f>"0330"</f>
        <v>0330</v>
      </c>
      <c r="D58" s="87" t="s">
        <v>9</v>
      </c>
      <c r="E58" s="51">
        <v>162000</v>
      </c>
      <c r="F58" s="51">
        <v>161154.08</v>
      </c>
      <c r="G58" s="70">
        <f t="shared" si="9"/>
        <v>0.9947782716049381</v>
      </c>
      <c r="H58" s="71">
        <v>162000</v>
      </c>
      <c r="I58" s="51">
        <v>161154.08</v>
      </c>
      <c r="J58" s="72">
        <f t="shared" si="10"/>
        <v>0.9947782716049381</v>
      </c>
      <c r="K58" s="50"/>
      <c r="L58" s="51"/>
      <c r="M58" s="72"/>
      <c r="N58" s="50"/>
      <c r="O58" s="51"/>
      <c r="P58" s="73"/>
      <c r="Q58" s="54"/>
      <c r="R58" s="54"/>
      <c r="S58" s="54"/>
      <c r="T58" s="5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</row>
    <row r="59" spans="1:181" s="59" customFormat="1" ht="20.25">
      <c r="A59" s="84"/>
      <c r="B59" s="45"/>
      <c r="C59" s="44" t="str">
        <f>"0340"</f>
        <v>0340</v>
      </c>
      <c r="D59" s="87" t="s">
        <v>118</v>
      </c>
      <c r="E59" s="51">
        <v>3200</v>
      </c>
      <c r="F59" s="51">
        <v>1468.64</v>
      </c>
      <c r="G59" s="70">
        <f t="shared" si="9"/>
        <v>0.45895</v>
      </c>
      <c r="H59" s="71">
        <v>3200</v>
      </c>
      <c r="I59" s="51">
        <v>1468.64</v>
      </c>
      <c r="J59" s="72">
        <f t="shared" si="10"/>
        <v>0.45895</v>
      </c>
      <c r="K59" s="50"/>
      <c r="L59" s="51"/>
      <c r="M59" s="72"/>
      <c r="N59" s="50"/>
      <c r="O59" s="51"/>
      <c r="P59" s="73"/>
      <c r="Q59" s="54"/>
      <c r="R59" s="54"/>
      <c r="S59" s="54"/>
      <c r="T59" s="5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</row>
    <row r="60" spans="1:181" s="59" customFormat="1" ht="20.25">
      <c r="A60" s="84"/>
      <c r="B60" s="45"/>
      <c r="C60" s="44" t="str">
        <f>"0500"</f>
        <v>0500</v>
      </c>
      <c r="D60" s="87" t="s">
        <v>27</v>
      </c>
      <c r="E60" s="51">
        <v>100</v>
      </c>
      <c r="F60" s="51">
        <v>60</v>
      </c>
      <c r="G60" s="70">
        <f t="shared" si="9"/>
        <v>0.6</v>
      </c>
      <c r="H60" s="71">
        <v>100</v>
      </c>
      <c r="I60" s="51">
        <v>60</v>
      </c>
      <c r="J60" s="72">
        <f t="shared" si="10"/>
        <v>0.6</v>
      </c>
      <c r="K60" s="50"/>
      <c r="L60" s="51"/>
      <c r="M60" s="72"/>
      <c r="N60" s="50"/>
      <c r="O60" s="51"/>
      <c r="P60" s="73"/>
      <c r="Q60" s="54"/>
      <c r="R60" s="54"/>
      <c r="S60" s="54"/>
      <c r="T60" s="5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</row>
    <row r="61" spans="1:181" s="59" customFormat="1" ht="40.5">
      <c r="A61" s="84"/>
      <c r="B61" s="45"/>
      <c r="C61" s="57" t="str">
        <f>"0910"</f>
        <v>0910</v>
      </c>
      <c r="D61" s="58" t="s">
        <v>116</v>
      </c>
      <c r="E61" s="51">
        <v>1000</v>
      </c>
      <c r="F61" s="51">
        <v>4145.9</v>
      </c>
      <c r="G61" s="70">
        <f t="shared" si="9"/>
        <v>4.145899999999999</v>
      </c>
      <c r="H61" s="71">
        <v>1000</v>
      </c>
      <c r="I61" s="51">
        <v>4145.9</v>
      </c>
      <c r="J61" s="72">
        <f t="shared" si="10"/>
        <v>4.145899999999999</v>
      </c>
      <c r="K61" s="50"/>
      <c r="L61" s="51"/>
      <c r="M61" s="72"/>
      <c r="N61" s="50"/>
      <c r="O61" s="51"/>
      <c r="P61" s="73"/>
      <c r="Q61" s="54"/>
      <c r="R61" s="54"/>
      <c r="S61" s="54"/>
      <c r="T61" s="5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</row>
    <row r="62" spans="1:181" s="59" customFormat="1" ht="81">
      <c r="A62" s="84"/>
      <c r="B62" s="116">
        <v>75616</v>
      </c>
      <c r="C62" s="77"/>
      <c r="D62" s="117" t="s">
        <v>139</v>
      </c>
      <c r="E62" s="79">
        <f>SUM(E63:E71)</f>
        <v>852500</v>
      </c>
      <c r="F62" s="79">
        <f>SUM(F63:F71)</f>
        <v>914575.8099999999</v>
      </c>
      <c r="G62" s="94">
        <f>F62/E62</f>
        <v>1.0728161994134897</v>
      </c>
      <c r="H62" s="79">
        <f>SUM(H63:H71)</f>
        <v>852500</v>
      </c>
      <c r="I62" s="79">
        <f>SUM(I63:I71)</f>
        <v>914575.8099999999</v>
      </c>
      <c r="J62" s="81">
        <f>I62/H62</f>
        <v>1.0728161994134897</v>
      </c>
      <c r="K62" s="80"/>
      <c r="L62" s="79"/>
      <c r="M62" s="81"/>
      <c r="N62" s="80"/>
      <c r="O62" s="79"/>
      <c r="P62" s="125"/>
      <c r="Q62" s="54"/>
      <c r="R62" s="54"/>
      <c r="S62" s="54"/>
      <c r="T62" s="5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</row>
    <row r="63" spans="1:181" s="59" customFormat="1" ht="20.25">
      <c r="A63" s="84"/>
      <c r="B63" s="45"/>
      <c r="C63" s="44" t="str">
        <f>"0310"</f>
        <v>0310</v>
      </c>
      <c r="D63" s="87" t="s">
        <v>10</v>
      </c>
      <c r="E63" s="51">
        <v>487000</v>
      </c>
      <c r="F63" s="51">
        <v>494101.62</v>
      </c>
      <c r="G63" s="70">
        <f aca="true" t="shared" si="11" ref="G63:G71">F63/E63</f>
        <v>1.0145823819301847</v>
      </c>
      <c r="H63" s="71">
        <v>487000</v>
      </c>
      <c r="I63" s="51">
        <v>494101.62</v>
      </c>
      <c r="J63" s="72">
        <f aca="true" t="shared" si="12" ref="J63:J71">I63/H63</f>
        <v>1.0145823819301847</v>
      </c>
      <c r="K63" s="50"/>
      <c r="L63" s="71"/>
      <c r="M63" s="105"/>
      <c r="N63" s="50"/>
      <c r="O63" s="71"/>
      <c r="P63" s="106"/>
      <c r="Q63" s="54"/>
      <c r="R63" s="54"/>
      <c r="S63" s="54"/>
      <c r="T63" s="5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</row>
    <row r="64" spans="1:181" s="59" customFormat="1" ht="20.25">
      <c r="A64" s="84"/>
      <c r="B64" s="45"/>
      <c r="C64" s="44" t="str">
        <f>"0320"</f>
        <v>0320</v>
      </c>
      <c r="D64" s="87" t="s">
        <v>8</v>
      </c>
      <c r="E64" s="51">
        <v>244000</v>
      </c>
      <c r="F64" s="51">
        <v>242930.07</v>
      </c>
      <c r="G64" s="70">
        <f t="shared" si="11"/>
        <v>0.9956150409836065</v>
      </c>
      <c r="H64" s="71">
        <v>244000</v>
      </c>
      <c r="I64" s="51">
        <v>242930.07</v>
      </c>
      <c r="J64" s="72">
        <f t="shared" si="12"/>
        <v>0.9956150409836065</v>
      </c>
      <c r="K64" s="50"/>
      <c r="L64" s="71"/>
      <c r="M64" s="105"/>
      <c r="N64" s="50"/>
      <c r="O64" s="71"/>
      <c r="P64" s="106"/>
      <c r="Q64" s="54"/>
      <c r="R64" s="54"/>
      <c r="S64" s="54"/>
      <c r="T64" s="5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</row>
    <row r="65" spans="1:181" s="59" customFormat="1" ht="20.25">
      <c r="A65" s="84"/>
      <c r="B65" s="45"/>
      <c r="C65" s="44" t="str">
        <f>"0330"</f>
        <v>0330</v>
      </c>
      <c r="D65" s="87" t="s">
        <v>9</v>
      </c>
      <c r="E65" s="51">
        <v>1000</v>
      </c>
      <c r="F65" s="51">
        <v>2062.49</v>
      </c>
      <c r="G65" s="70">
        <f t="shared" si="11"/>
        <v>2.06249</v>
      </c>
      <c r="H65" s="71">
        <v>1000</v>
      </c>
      <c r="I65" s="51">
        <v>2062.49</v>
      </c>
      <c r="J65" s="72">
        <f t="shared" si="12"/>
        <v>2.06249</v>
      </c>
      <c r="K65" s="50"/>
      <c r="L65" s="71"/>
      <c r="M65" s="105"/>
      <c r="N65" s="50"/>
      <c r="O65" s="71"/>
      <c r="P65" s="106"/>
      <c r="Q65" s="54"/>
      <c r="R65" s="54"/>
      <c r="S65" s="54"/>
      <c r="T65" s="5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</row>
    <row r="66" spans="1:181" s="59" customFormat="1" ht="20.25">
      <c r="A66" s="84"/>
      <c r="B66" s="45"/>
      <c r="C66" s="44" t="str">
        <f>"0340"</f>
        <v>0340</v>
      </c>
      <c r="D66" s="87" t="s">
        <v>118</v>
      </c>
      <c r="E66" s="51">
        <v>44000</v>
      </c>
      <c r="F66" s="51">
        <v>39455.94</v>
      </c>
      <c r="G66" s="70">
        <f t="shared" si="11"/>
        <v>0.8967259090909091</v>
      </c>
      <c r="H66" s="71">
        <v>44000</v>
      </c>
      <c r="I66" s="51">
        <v>39455.94</v>
      </c>
      <c r="J66" s="72">
        <f t="shared" si="12"/>
        <v>0.8967259090909091</v>
      </c>
      <c r="K66" s="50"/>
      <c r="L66" s="71"/>
      <c r="M66" s="105"/>
      <c r="N66" s="50"/>
      <c r="O66" s="71"/>
      <c r="P66" s="106"/>
      <c r="Q66" s="54"/>
      <c r="R66" s="54"/>
      <c r="S66" s="54"/>
      <c r="T66" s="5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</row>
    <row r="67" spans="1:181" s="54" customFormat="1" ht="20.25">
      <c r="A67" s="84"/>
      <c r="B67" s="45"/>
      <c r="C67" s="44" t="str">
        <f>"0360"</f>
        <v>0360</v>
      </c>
      <c r="D67" s="87" t="s">
        <v>28</v>
      </c>
      <c r="E67" s="51">
        <v>10000</v>
      </c>
      <c r="F67" s="51">
        <v>32941</v>
      </c>
      <c r="G67" s="70">
        <f t="shared" si="11"/>
        <v>3.2941</v>
      </c>
      <c r="H67" s="71">
        <v>10000</v>
      </c>
      <c r="I67" s="51">
        <v>32941</v>
      </c>
      <c r="J67" s="72">
        <f t="shared" si="12"/>
        <v>3.2941</v>
      </c>
      <c r="K67" s="50"/>
      <c r="L67" s="71"/>
      <c r="M67" s="105"/>
      <c r="N67" s="50"/>
      <c r="O67" s="71"/>
      <c r="P67" s="106"/>
      <c r="U67" s="59"/>
      <c r="V67" s="59"/>
      <c r="W67" s="59"/>
      <c r="X67" s="59"/>
      <c r="Y67" s="59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</row>
    <row r="68" spans="1:25" s="24" customFormat="1" ht="20.25" customHeight="1">
      <c r="A68" s="84"/>
      <c r="B68" s="45"/>
      <c r="C68" s="44" t="str">
        <f>"0370"</f>
        <v>0370</v>
      </c>
      <c r="D68" s="87" t="s">
        <v>11</v>
      </c>
      <c r="E68" s="51">
        <v>500</v>
      </c>
      <c r="F68" s="51">
        <v>612</v>
      </c>
      <c r="G68" s="70">
        <f t="shared" si="11"/>
        <v>1.224</v>
      </c>
      <c r="H68" s="71">
        <v>500</v>
      </c>
      <c r="I68" s="51">
        <v>612</v>
      </c>
      <c r="J68" s="72">
        <f t="shared" si="12"/>
        <v>1.224</v>
      </c>
      <c r="K68" s="50"/>
      <c r="L68" s="71"/>
      <c r="M68" s="105"/>
      <c r="N68" s="50"/>
      <c r="O68" s="71"/>
      <c r="P68" s="106"/>
      <c r="T68" s="54"/>
      <c r="U68" s="55"/>
      <c r="V68" s="55"/>
      <c r="W68" s="55"/>
      <c r="X68" s="55"/>
      <c r="Y68" s="55"/>
    </row>
    <row r="69" spans="1:25" s="24" customFormat="1" ht="20.25">
      <c r="A69" s="84"/>
      <c r="B69" s="45"/>
      <c r="C69" s="44" t="str">
        <f>"0430"</f>
        <v>0430</v>
      </c>
      <c r="D69" s="87" t="s">
        <v>29</v>
      </c>
      <c r="E69" s="51">
        <v>6000</v>
      </c>
      <c r="F69" s="51">
        <v>2984</v>
      </c>
      <c r="G69" s="70">
        <f t="shared" si="11"/>
        <v>0.49733333333333335</v>
      </c>
      <c r="H69" s="71">
        <v>6000</v>
      </c>
      <c r="I69" s="51">
        <v>2984</v>
      </c>
      <c r="J69" s="72">
        <f t="shared" si="12"/>
        <v>0.49733333333333335</v>
      </c>
      <c r="K69" s="50"/>
      <c r="L69" s="71"/>
      <c r="M69" s="105"/>
      <c r="N69" s="50"/>
      <c r="O69" s="71"/>
      <c r="P69" s="106"/>
      <c r="Y69" s="55"/>
    </row>
    <row r="70" spans="1:25" s="24" customFormat="1" ht="20.25">
      <c r="A70" s="84"/>
      <c r="B70" s="45"/>
      <c r="C70" s="44" t="str">
        <f>"0500"</f>
        <v>0500</v>
      </c>
      <c r="D70" s="87" t="s">
        <v>27</v>
      </c>
      <c r="E70" s="51">
        <v>50000</v>
      </c>
      <c r="F70" s="51">
        <v>85865.17</v>
      </c>
      <c r="G70" s="70">
        <f t="shared" si="11"/>
        <v>1.7173034</v>
      </c>
      <c r="H70" s="71">
        <v>50000</v>
      </c>
      <c r="I70" s="51">
        <v>85865.17</v>
      </c>
      <c r="J70" s="72">
        <f t="shared" si="12"/>
        <v>1.7173034</v>
      </c>
      <c r="K70" s="50"/>
      <c r="L70" s="71"/>
      <c r="M70" s="105"/>
      <c r="N70" s="50"/>
      <c r="O70" s="71"/>
      <c r="P70" s="106"/>
      <c r="T70" s="54"/>
      <c r="Y70" s="55"/>
    </row>
    <row r="71" spans="1:25" s="24" customFormat="1" ht="40.5">
      <c r="A71" s="84"/>
      <c r="B71" s="45"/>
      <c r="C71" s="57" t="str">
        <f>"0910"</f>
        <v>0910</v>
      </c>
      <c r="D71" s="58" t="s">
        <v>116</v>
      </c>
      <c r="E71" s="51">
        <v>10000</v>
      </c>
      <c r="F71" s="51">
        <v>13623.52</v>
      </c>
      <c r="G71" s="70">
        <f t="shared" si="11"/>
        <v>1.362352</v>
      </c>
      <c r="H71" s="71">
        <v>10000</v>
      </c>
      <c r="I71" s="51">
        <v>13623.52</v>
      </c>
      <c r="J71" s="72">
        <f t="shared" si="12"/>
        <v>1.362352</v>
      </c>
      <c r="K71" s="50"/>
      <c r="L71" s="71"/>
      <c r="M71" s="105"/>
      <c r="N71" s="50"/>
      <c r="O71" s="71"/>
      <c r="P71" s="106"/>
      <c r="T71" s="54"/>
      <c r="Y71" s="55"/>
    </row>
    <row r="72" spans="1:25" s="24" customFormat="1" ht="40.5">
      <c r="A72" s="84"/>
      <c r="B72" s="116">
        <v>75618</v>
      </c>
      <c r="C72" s="77"/>
      <c r="D72" s="117" t="s">
        <v>119</v>
      </c>
      <c r="E72" s="79">
        <f>SUM(E73:E78)</f>
        <v>147200</v>
      </c>
      <c r="F72" s="79">
        <f>SUM(F73:F78)</f>
        <v>158940.53999999998</v>
      </c>
      <c r="G72" s="94">
        <f aca="true" t="shared" si="13" ref="G72:G79">F72/E72</f>
        <v>1.0797591032608693</v>
      </c>
      <c r="H72" s="79">
        <f>SUM(H73:H78)</f>
        <v>147200</v>
      </c>
      <c r="I72" s="79">
        <f>SUM(I73:I78)</f>
        <v>158940.53999999998</v>
      </c>
      <c r="J72" s="81">
        <f aca="true" t="shared" si="14" ref="J72:J79">I72/H72</f>
        <v>1.0797591032608693</v>
      </c>
      <c r="K72" s="80"/>
      <c r="L72" s="80"/>
      <c r="M72" s="107"/>
      <c r="N72" s="80"/>
      <c r="O72" s="80"/>
      <c r="P72" s="108"/>
      <c r="T72" s="54"/>
      <c r="Y72" s="55"/>
    </row>
    <row r="73" spans="1:25" s="24" customFormat="1" ht="20.25">
      <c r="A73" s="84"/>
      <c r="B73" s="45"/>
      <c r="C73" s="44" t="str">
        <f>"0410"</f>
        <v>0410</v>
      </c>
      <c r="D73" s="87" t="s">
        <v>12</v>
      </c>
      <c r="E73" s="51">
        <v>20000</v>
      </c>
      <c r="F73" s="51">
        <v>24329.69</v>
      </c>
      <c r="G73" s="70">
        <f t="shared" si="13"/>
        <v>1.2164845</v>
      </c>
      <c r="H73" s="71">
        <v>20000</v>
      </c>
      <c r="I73" s="51">
        <v>24329.69</v>
      </c>
      <c r="J73" s="72">
        <f t="shared" si="14"/>
        <v>1.2164845</v>
      </c>
      <c r="K73" s="50"/>
      <c r="L73" s="51"/>
      <c r="M73" s="72"/>
      <c r="N73" s="50"/>
      <c r="O73" s="51"/>
      <c r="P73" s="73"/>
      <c r="T73" s="54"/>
      <c r="U73" s="59"/>
      <c r="V73" s="59"/>
      <c r="W73" s="59"/>
      <c r="X73" s="59"/>
      <c r="Y73" s="55"/>
    </row>
    <row r="74" spans="1:25" s="24" customFormat="1" ht="20.25">
      <c r="A74" s="84"/>
      <c r="B74" s="45"/>
      <c r="C74" s="44" t="str">
        <f>"0460"</f>
        <v>0460</v>
      </c>
      <c r="D74" s="87" t="s">
        <v>32</v>
      </c>
      <c r="E74" s="51">
        <v>24000</v>
      </c>
      <c r="F74" s="51">
        <v>37957.2</v>
      </c>
      <c r="G74" s="70">
        <f t="shared" si="13"/>
        <v>1.5815499999999998</v>
      </c>
      <c r="H74" s="71">
        <v>24000</v>
      </c>
      <c r="I74" s="51">
        <v>37957.2</v>
      </c>
      <c r="J74" s="72">
        <f t="shared" si="14"/>
        <v>1.5815499999999998</v>
      </c>
      <c r="K74" s="50"/>
      <c r="L74" s="51"/>
      <c r="M74" s="72"/>
      <c r="N74" s="50"/>
      <c r="O74" s="51"/>
      <c r="P74" s="73"/>
      <c r="U74" s="55"/>
      <c r="V74" s="55"/>
      <c r="W74" s="55"/>
      <c r="X74" s="55"/>
      <c r="Y74" s="55"/>
    </row>
    <row r="75" spans="1:25" s="24" customFormat="1" ht="40.5">
      <c r="A75" s="84"/>
      <c r="B75" s="45"/>
      <c r="C75" s="57" t="str">
        <f>"0480"</f>
        <v>0480</v>
      </c>
      <c r="D75" s="58" t="s">
        <v>153</v>
      </c>
      <c r="E75" s="51">
        <v>85000</v>
      </c>
      <c r="F75" s="51">
        <v>84936.65</v>
      </c>
      <c r="G75" s="70">
        <f t="shared" si="13"/>
        <v>0.9992547058823529</v>
      </c>
      <c r="H75" s="71">
        <v>85000</v>
      </c>
      <c r="I75" s="51">
        <v>84936.65</v>
      </c>
      <c r="J75" s="72">
        <f t="shared" si="14"/>
        <v>0.9992547058823529</v>
      </c>
      <c r="K75" s="50"/>
      <c r="L75" s="51"/>
      <c r="M75" s="72"/>
      <c r="N75" s="50"/>
      <c r="O75" s="51"/>
      <c r="P75" s="73"/>
      <c r="U75" s="55"/>
      <c r="V75" s="55"/>
      <c r="W75" s="55"/>
      <c r="X75" s="55"/>
      <c r="Y75" s="55"/>
    </row>
    <row r="76" spans="1:25" s="24" customFormat="1" ht="20.25">
      <c r="A76" s="84"/>
      <c r="B76" s="45"/>
      <c r="C76" s="103" t="s">
        <v>165</v>
      </c>
      <c r="D76" s="58" t="s">
        <v>21</v>
      </c>
      <c r="E76" s="51">
        <v>18000</v>
      </c>
      <c r="F76" s="51">
        <v>9037</v>
      </c>
      <c r="G76" s="70">
        <f t="shared" si="13"/>
        <v>0.5020555555555556</v>
      </c>
      <c r="H76" s="71">
        <v>18000</v>
      </c>
      <c r="I76" s="51">
        <v>9037</v>
      </c>
      <c r="J76" s="72">
        <f t="shared" si="14"/>
        <v>0.5020555555555556</v>
      </c>
      <c r="K76" s="50"/>
      <c r="L76" s="51"/>
      <c r="M76" s="72"/>
      <c r="N76" s="50"/>
      <c r="O76" s="51"/>
      <c r="P76" s="73"/>
      <c r="U76" s="59"/>
      <c r="V76" s="59"/>
      <c r="W76" s="59"/>
      <c r="X76" s="59"/>
      <c r="Y76" s="55"/>
    </row>
    <row r="77" spans="1:25" s="24" customFormat="1" ht="40.5">
      <c r="A77" s="84"/>
      <c r="B77" s="45"/>
      <c r="C77" s="103" t="s">
        <v>172</v>
      </c>
      <c r="D77" s="126" t="s">
        <v>116</v>
      </c>
      <c r="E77" s="51">
        <v>200</v>
      </c>
      <c r="F77" s="51">
        <v>0</v>
      </c>
      <c r="G77" s="70">
        <f>F77/E77</f>
        <v>0</v>
      </c>
      <c r="H77" s="71">
        <v>200</v>
      </c>
      <c r="I77" s="51">
        <v>0</v>
      </c>
      <c r="J77" s="72">
        <f>I77/H77</f>
        <v>0</v>
      </c>
      <c r="K77" s="50"/>
      <c r="L77" s="51"/>
      <c r="M77" s="72"/>
      <c r="N77" s="50"/>
      <c r="O77" s="51"/>
      <c r="P77" s="73"/>
      <c r="U77" s="55"/>
      <c r="V77" s="55"/>
      <c r="W77" s="55"/>
      <c r="X77" s="55"/>
      <c r="Y77" s="55"/>
    </row>
    <row r="78" spans="1:25" s="24" customFormat="1" ht="20.25">
      <c r="A78" s="84"/>
      <c r="B78" s="45"/>
      <c r="C78" s="103" t="s">
        <v>166</v>
      </c>
      <c r="D78" s="58" t="s">
        <v>24</v>
      </c>
      <c r="E78" s="51">
        <v>0</v>
      </c>
      <c r="F78" s="51">
        <v>2680</v>
      </c>
      <c r="G78" s="70" t="s">
        <v>168</v>
      </c>
      <c r="H78" s="71">
        <v>0</v>
      </c>
      <c r="I78" s="51">
        <v>2680</v>
      </c>
      <c r="J78" s="72" t="s">
        <v>168</v>
      </c>
      <c r="K78" s="50"/>
      <c r="L78" s="51"/>
      <c r="M78" s="72"/>
      <c r="N78" s="50"/>
      <c r="O78" s="51"/>
      <c r="P78" s="73"/>
      <c r="T78" s="54"/>
      <c r="U78" s="55"/>
      <c r="V78" s="55"/>
      <c r="W78" s="55"/>
      <c r="X78" s="55"/>
      <c r="Y78" s="55"/>
    </row>
    <row r="79" spans="1:181" s="197" customFormat="1" ht="39.75" customHeight="1" thickBot="1">
      <c r="A79" s="84"/>
      <c r="B79" s="116">
        <v>75621</v>
      </c>
      <c r="C79" s="77"/>
      <c r="D79" s="117" t="s">
        <v>120</v>
      </c>
      <c r="E79" s="79">
        <f>SUM(E80:E81)</f>
        <v>1820852</v>
      </c>
      <c r="F79" s="79">
        <f>SUM(F80:F81)</f>
        <v>1906029.41</v>
      </c>
      <c r="G79" s="94">
        <f t="shared" si="13"/>
        <v>1.0467788760426437</v>
      </c>
      <c r="H79" s="79">
        <f>SUM(H80:H81)</f>
        <v>1820852</v>
      </c>
      <c r="I79" s="79">
        <f>SUM(I80:I81)</f>
        <v>1906029.41</v>
      </c>
      <c r="J79" s="81">
        <f t="shared" si="14"/>
        <v>1.0467788760426437</v>
      </c>
      <c r="K79" s="80"/>
      <c r="L79" s="79"/>
      <c r="M79" s="127"/>
      <c r="N79" s="80"/>
      <c r="O79" s="79"/>
      <c r="P79" s="78"/>
      <c r="Q79" s="175"/>
      <c r="R79" s="175"/>
      <c r="S79" s="175"/>
      <c r="T79" s="175"/>
      <c r="U79" s="180"/>
      <c r="V79" s="180"/>
      <c r="W79" s="180"/>
      <c r="X79" s="180"/>
      <c r="Y79" s="180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175"/>
      <c r="BI79" s="175"/>
      <c r="BJ79" s="175"/>
      <c r="BK79" s="175"/>
      <c r="BL79" s="175"/>
      <c r="BM79" s="175"/>
      <c r="BN79" s="175"/>
      <c r="BO79" s="175"/>
      <c r="BP79" s="175"/>
      <c r="BQ79" s="175"/>
      <c r="BR79" s="175"/>
      <c r="BS79" s="175"/>
      <c r="BT79" s="175"/>
      <c r="BU79" s="175"/>
      <c r="BV79" s="175"/>
      <c r="BW79" s="175"/>
      <c r="BX79" s="175"/>
      <c r="BY79" s="175"/>
      <c r="BZ79" s="175"/>
      <c r="CA79" s="175"/>
      <c r="CB79" s="175"/>
      <c r="CC79" s="175"/>
      <c r="CD79" s="175"/>
      <c r="CE79" s="175"/>
      <c r="CF79" s="175"/>
      <c r="CG79" s="175"/>
      <c r="CH79" s="175"/>
      <c r="CI79" s="175"/>
      <c r="CJ79" s="175"/>
      <c r="CK79" s="175"/>
      <c r="CL79" s="175"/>
      <c r="CM79" s="175"/>
      <c r="CN79" s="175"/>
      <c r="CO79" s="175"/>
      <c r="CP79" s="175"/>
      <c r="CQ79" s="175"/>
      <c r="CR79" s="175"/>
      <c r="CS79" s="175"/>
      <c r="CT79" s="175"/>
      <c r="CU79" s="175"/>
      <c r="CV79" s="175"/>
      <c r="CW79" s="175"/>
      <c r="CX79" s="175"/>
      <c r="CY79" s="175"/>
      <c r="CZ79" s="175"/>
      <c r="DA79" s="175"/>
      <c r="DB79" s="175"/>
      <c r="DC79" s="175"/>
      <c r="DD79" s="175"/>
      <c r="DE79" s="175"/>
      <c r="DF79" s="175"/>
      <c r="DG79" s="175"/>
      <c r="DH79" s="175"/>
      <c r="DI79" s="175"/>
      <c r="DJ79" s="175"/>
      <c r="DK79" s="175"/>
      <c r="DL79" s="175"/>
      <c r="DM79" s="175"/>
      <c r="DN79" s="175"/>
      <c r="DO79" s="175"/>
      <c r="DP79" s="175"/>
      <c r="DQ79" s="175"/>
      <c r="DR79" s="175"/>
      <c r="DS79" s="175"/>
      <c r="DT79" s="175"/>
      <c r="DU79" s="175"/>
      <c r="DV79" s="175"/>
      <c r="DW79" s="175"/>
      <c r="DX79" s="175"/>
      <c r="DY79" s="175"/>
      <c r="DZ79" s="175"/>
      <c r="EA79" s="175"/>
      <c r="EB79" s="175"/>
      <c r="EC79" s="175"/>
      <c r="ED79" s="175"/>
      <c r="EE79" s="175"/>
      <c r="EF79" s="175"/>
      <c r="EG79" s="175"/>
      <c r="EH79" s="175"/>
      <c r="EI79" s="175"/>
      <c r="EJ79" s="175"/>
      <c r="EK79" s="175"/>
      <c r="EL79" s="175"/>
      <c r="EM79" s="175"/>
      <c r="EN79" s="175"/>
      <c r="EO79" s="175"/>
      <c r="EP79" s="175"/>
      <c r="EQ79" s="175"/>
      <c r="ER79" s="175"/>
      <c r="ES79" s="175"/>
      <c r="ET79" s="175"/>
      <c r="EU79" s="175"/>
      <c r="EV79" s="175"/>
      <c r="EW79" s="175"/>
      <c r="EX79" s="175"/>
      <c r="EY79" s="175"/>
      <c r="EZ79" s="175"/>
      <c r="FA79" s="175"/>
      <c r="FB79" s="175"/>
      <c r="FC79" s="175"/>
      <c r="FD79" s="175"/>
      <c r="FE79" s="175"/>
      <c r="FF79" s="175"/>
      <c r="FG79" s="175"/>
      <c r="FH79" s="175"/>
      <c r="FI79" s="175"/>
      <c r="FJ79" s="175"/>
      <c r="FK79" s="175"/>
      <c r="FL79" s="175"/>
      <c r="FM79" s="175"/>
      <c r="FN79" s="175"/>
      <c r="FO79" s="175"/>
      <c r="FP79" s="175"/>
      <c r="FQ79" s="175"/>
      <c r="FR79" s="175"/>
      <c r="FS79" s="175"/>
      <c r="FT79" s="175"/>
      <c r="FU79" s="175"/>
      <c r="FV79" s="175"/>
      <c r="FW79" s="175"/>
      <c r="FX79" s="175"/>
      <c r="FY79" s="175"/>
    </row>
    <row r="80" spans="1:24" s="24" customFormat="1" ht="42.75" customHeight="1">
      <c r="A80" s="84"/>
      <c r="B80" s="45"/>
      <c r="C80" s="44" t="str">
        <f>"0010"</f>
        <v>0010</v>
      </c>
      <c r="D80" s="87" t="s">
        <v>148</v>
      </c>
      <c r="E80" s="51">
        <v>1750852</v>
      </c>
      <c r="F80" s="51">
        <v>1868759</v>
      </c>
      <c r="G80" s="70">
        <f aca="true" t="shared" si="15" ref="G80:G87">F80/E80</f>
        <v>1.0673426423249939</v>
      </c>
      <c r="H80" s="71">
        <v>1750852</v>
      </c>
      <c r="I80" s="51">
        <v>1868759</v>
      </c>
      <c r="J80" s="72">
        <f>I80/H80</f>
        <v>1.0673426423249939</v>
      </c>
      <c r="K80" s="50"/>
      <c r="L80" s="51"/>
      <c r="M80" s="124"/>
      <c r="N80" s="50"/>
      <c r="O80" s="51"/>
      <c r="P80" s="91"/>
      <c r="U80" s="55"/>
      <c r="V80" s="55"/>
      <c r="W80" s="55"/>
      <c r="X80" s="55"/>
    </row>
    <row r="81" spans="1:24" s="24" customFormat="1" ht="31.5" customHeight="1" thickBot="1">
      <c r="A81" s="128"/>
      <c r="B81" s="45"/>
      <c r="C81" s="44" t="str">
        <f>"0020"</f>
        <v>0020</v>
      </c>
      <c r="D81" s="87" t="s">
        <v>149</v>
      </c>
      <c r="E81" s="51">
        <v>70000</v>
      </c>
      <c r="F81" s="51">
        <v>37270.41</v>
      </c>
      <c r="G81" s="70">
        <f t="shared" si="15"/>
        <v>0.5324344285714286</v>
      </c>
      <c r="H81" s="71">
        <v>70000</v>
      </c>
      <c r="I81" s="51">
        <v>37270.41</v>
      </c>
      <c r="J81" s="72">
        <f>I81/H81</f>
        <v>0.5324344285714286</v>
      </c>
      <c r="K81" s="50"/>
      <c r="L81" s="51"/>
      <c r="M81" s="124"/>
      <c r="N81" s="50"/>
      <c r="O81" s="51"/>
      <c r="P81" s="91"/>
      <c r="U81" s="55"/>
      <c r="V81" s="55"/>
      <c r="W81" s="55"/>
      <c r="X81" s="55"/>
    </row>
    <row r="82" spans="1:16" s="24" customFormat="1" ht="30" customHeight="1" thickBot="1">
      <c r="A82" s="112">
        <v>758</v>
      </c>
      <c r="B82" s="112"/>
      <c r="C82" s="167"/>
      <c r="D82" s="112" t="s">
        <v>14</v>
      </c>
      <c r="E82" s="173">
        <f>E83+E86+E88+E90</f>
        <v>5503700</v>
      </c>
      <c r="F82" s="173">
        <f>F83+F86+F88+F90</f>
        <v>5501976.82</v>
      </c>
      <c r="G82" s="169">
        <f t="shared" si="15"/>
        <v>0.9996869051728837</v>
      </c>
      <c r="H82" s="173">
        <f>H83+H86+H88+H90</f>
        <v>5503700</v>
      </c>
      <c r="I82" s="173">
        <f>I83+I86+I88+I90</f>
        <v>5501976.82</v>
      </c>
      <c r="J82" s="178">
        <f>I82/H82</f>
        <v>0.9996869051728837</v>
      </c>
      <c r="K82" s="172"/>
      <c r="L82" s="173"/>
      <c r="M82" s="178"/>
      <c r="N82" s="172"/>
      <c r="O82" s="173"/>
      <c r="P82" s="179"/>
    </row>
    <row r="83" spans="1:16" s="24" customFormat="1" ht="40.5" customHeight="1">
      <c r="A83" s="84"/>
      <c r="B83" s="114">
        <v>75801</v>
      </c>
      <c r="C83" s="44"/>
      <c r="D83" s="30" t="s">
        <v>121</v>
      </c>
      <c r="E83" s="67">
        <f>E84</f>
        <v>4034013</v>
      </c>
      <c r="F83" s="67">
        <f>F84</f>
        <v>4034013</v>
      </c>
      <c r="G83" s="47">
        <f t="shared" si="15"/>
        <v>1</v>
      </c>
      <c r="H83" s="67">
        <f>H84</f>
        <v>4034013</v>
      </c>
      <c r="I83" s="67">
        <f>I84</f>
        <v>4034013</v>
      </c>
      <c r="J83" s="52">
        <f>I84/H84</f>
        <v>1</v>
      </c>
      <c r="K83" s="68"/>
      <c r="L83" s="67"/>
      <c r="M83" s="72"/>
      <c r="N83" s="68"/>
      <c r="O83" s="67"/>
      <c r="P83" s="73"/>
    </row>
    <row r="84" spans="1:16" s="24" customFormat="1" ht="22.5" customHeight="1">
      <c r="A84" s="210"/>
      <c r="B84" s="211"/>
      <c r="C84" s="237">
        <v>2920</v>
      </c>
      <c r="D84" s="212" t="s">
        <v>122</v>
      </c>
      <c r="E84" s="213">
        <v>4034013</v>
      </c>
      <c r="F84" s="213">
        <v>4034013</v>
      </c>
      <c r="G84" s="219">
        <f t="shared" si="15"/>
        <v>1</v>
      </c>
      <c r="H84" s="214">
        <v>4034013</v>
      </c>
      <c r="I84" s="213">
        <v>4034013</v>
      </c>
      <c r="J84" s="215">
        <f>I84/H84</f>
        <v>1</v>
      </c>
      <c r="K84" s="238"/>
      <c r="L84" s="239"/>
      <c r="M84" s="215"/>
      <c r="N84" s="238"/>
      <c r="O84" s="239"/>
      <c r="P84" s="451"/>
    </row>
    <row r="85" spans="1:16" s="24" customFormat="1" ht="21" customHeight="1" thickBot="1">
      <c r="A85" s="1">
        <v>1</v>
      </c>
      <c r="B85" s="1">
        <v>2</v>
      </c>
      <c r="C85" s="233">
        <v>3</v>
      </c>
      <c r="D85" s="1">
        <v>4</v>
      </c>
      <c r="E85" s="2">
        <v>5</v>
      </c>
      <c r="F85" s="2">
        <v>6</v>
      </c>
      <c r="G85" s="234">
        <v>7</v>
      </c>
      <c r="H85" s="235">
        <v>8</v>
      </c>
      <c r="I85" s="1">
        <v>9</v>
      </c>
      <c r="J85" s="236">
        <v>10</v>
      </c>
      <c r="K85" s="21">
        <v>11</v>
      </c>
      <c r="L85" s="1">
        <v>12</v>
      </c>
      <c r="M85" s="236">
        <v>13</v>
      </c>
      <c r="N85" s="21">
        <v>14</v>
      </c>
      <c r="O85" s="1">
        <v>15</v>
      </c>
      <c r="P85" s="1">
        <v>16</v>
      </c>
    </row>
    <row r="86" spans="1:16" s="24" customFormat="1" ht="41.25" customHeight="1" thickTop="1">
      <c r="A86" s="84"/>
      <c r="B86" s="78">
        <v>75807</v>
      </c>
      <c r="C86" s="77"/>
      <c r="D86" s="176" t="s">
        <v>123</v>
      </c>
      <c r="E86" s="79">
        <f>E87</f>
        <v>1412319</v>
      </c>
      <c r="F86" s="79">
        <f>F87</f>
        <v>1412319</v>
      </c>
      <c r="G86" s="94">
        <f t="shared" si="15"/>
        <v>1</v>
      </c>
      <c r="H86" s="79">
        <f>H87</f>
        <v>1412319</v>
      </c>
      <c r="I86" s="79">
        <f>I87</f>
        <v>1412319</v>
      </c>
      <c r="J86" s="81">
        <f>I86/H86</f>
        <v>1</v>
      </c>
      <c r="K86" s="80"/>
      <c r="L86" s="79"/>
      <c r="M86" s="81"/>
      <c r="N86" s="80"/>
      <c r="O86" s="79"/>
      <c r="P86" s="125"/>
    </row>
    <row r="87" spans="1:16" s="24" customFormat="1" ht="23.25" customHeight="1">
      <c r="A87" s="84"/>
      <c r="B87" s="368"/>
      <c r="C87" s="472">
        <v>2920</v>
      </c>
      <c r="D87" s="379" t="s">
        <v>122</v>
      </c>
      <c r="E87" s="380">
        <v>1412319</v>
      </c>
      <c r="F87" s="380">
        <v>1412319</v>
      </c>
      <c r="G87" s="89">
        <f t="shared" si="15"/>
        <v>1</v>
      </c>
      <c r="H87" s="371">
        <v>1412319</v>
      </c>
      <c r="I87" s="380">
        <v>1412319</v>
      </c>
      <c r="J87" s="142">
        <f>I87/H87</f>
        <v>1</v>
      </c>
      <c r="K87" s="473"/>
      <c r="L87" s="474"/>
      <c r="M87" s="475"/>
      <c r="N87" s="473"/>
      <c r="O87" s="474"/>
      <c r="P87" s="383"/>
    </row>
    <row r="88" spans="1:181" s="186" customFormat="1" ht="30" customHeight="1">
      <c r="A88" s="84"/>
      <c r="B88" s="45">
        <v>75814</v>
      </c>
      <c r="C88" s="44"/>
      <c r="D88" s="45" t="s">
        <v>36</v>
      </c>
      <c r="E88" s="67">
        <f>SUM(E89:E89)</f>
        <v>0</v>
      </c>
      <c r="F88" s="67">
        <f>SUM(F89:F89)</f>
        <v>67.82</v>
      </c>
      <c r="G88" s="70"/>
      <c r="H88" s="67">
        <f>SUM(H89:H89)</f>
        <v>0</v>
      </c>
      <c r="I88" s="67">
        <f>SUM(I89:I89)</f>
        <v>67.82</v>
      </c>
      <c r="J88" s="52"/>
      <c r="K88" s="68"/>
      <c r="L88" s="67"/>
      <c r="M88" s="52"/>
      <c r="N88" s="68"/>
      <c r="O88" s="67"/>
      <c r="P88" s="69"/>
      <c r="Q88" s="164"/>
      <c r="R88" s="164"/>
      <c r="S88" s="164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75"/>
      <c r="AT88" s="175"/>
      <c r="AU88" s="175"/>
      <c r="AV88" s="175"/>
      <c r="AW88" s="175"/>
      <c r="AX88" s="175"/>
      <c r="AY88" s="175"/>
      <c r="AZ88" s="175"/>
      <c r="BA88" s="175"/>
      <c r="BB88" s="175"/>
      <c r="BC88" s="175"/>
      <c r="BD88" s="175"/>
      <c r="BE88" s="175"/>
      <c r="BF88" s="175"/>
      <c r="BG88" s="175"/>
      <c r="BH88" s="175"/>
      <c r="BI88" s="175"/>
      <c r="BJ88" s="175"/>
      <c r="BK88" s="175"/>
      <c r="BL88" s="175"/>
      <c r="BM88" s="175"/>
      <c r="BN88" s="175"/>
      <c r="BO88" s="175"/>
      <c r="BP88" s="175"/>
      <c r="BQ88" s="175"/>
      <c r="BR88" s="175"/>
      <c r="BS88" s="175"/>
      <c r="BT88" s="175"/>
      <c r="BU88" s="175"/>
      <c r="BV88" s="175"/>
      <c r="BW88" s="175"/>
      <c r="BX88" s="175"/>
      <c r="BY88" s="175"/>
      <c r="BZ88" s="175"/>
      <c r="CA88" s="175"/>
      <c r="CB88" s="175"/>
      <c r="CC88" s="175"/>
      <c r="CD88" s="175"/>
      <c r="CE88" s="175"/>
      <c r="CF88" s="175"/>
      <c r="CG88" s="175"/>
      <c r="CH88" s="175"/>
      <c r="CI88" s="175"/>
      <c r="CJ88" s="175"/>
      <c r="CK88" s="175"/>
      <c r="CL88" s="175"/>
      <c r="CM88" s="175"/>
      <c r="CN88" s="175"/>
      <c r="CO88" s="175"/>
      <c r="CP88" s="175"/>
      <c r="CQ88" s="175"/>
      <c r="CR88" s="175"/>
      <c r="CS88" s="175"/>
      <c r="CT88" s="175"/>
      <c r="CU88" s="175"/>
      <c r="CV88" s="175"/>
      <c r="CW88" s="175"/>
      <c r="CX88" s="175"/>
      <c r="CY88" s="175"/>
      <c r="CZ88" s="175"/>
      <c r="DA88" s="175"/>
      <c r="DB88" s="175"/>
      <c r="DC88" s="175"/>
      <c r="DD88" s="175"/>
      <c r="DE88" s="175"/>
      <c r="DF88" s="175"/>
      <c r="DG88" s="175"/>
      <c r="DH88" s="175"/>
      <c r="DI88" s="175"/>
      <c r="DJ88" s="175"/>
      <c r="DK88" s="175"/>
      <c r="DL88" s="175"/>
      <c r="DM88" s="175"/>
      <c r="DN88" s="175"/>
      <c r="DO88" s="175"/>
      <c r="DP88" s="175"/>
      <c r="DQ88" s="175"/>
      <c r="DR88" s="175"/>
      <c r="DS88" s="175"/>
      <c r="DT88" s="175"/>
      <c r="DU88" s="175"/>
      <c r="DV88" s="175"/>
      <c r="DW88" s="175"/>
      <c r="DX88" s="175"/>
      <c r="DY88" s="175"/>
      <c r="DZ88" s="175"/>
      <c r="EA88" s="175"/>
      <c r="EB88" s="175"/>
      <c r="EC88" s="175"/>
      <c r="ED88" s="175"/>
      <c r="EE88" s="175"/>
      <c r="EF88" s="175"/>
      <c r="EG88" s="175"/>
      <c r="EH88" s="175"/>
      <c r="EI88" s="175"/>
      <c r="EJ88" s="175"/>
      <c r="EK88" s="175"/>
      <c r="EL88" s="175"/>
      <c r="EM88" s="175"/>
      <c r="EN88" s="175"/>
      <c r="EO88" s="175"/>
      <c r="EP88" s="175"/>
      <c r="EQ88" s="175"/>
      <c r="ER88" s="175"/>
      <c r="ES88" s="175"/>
      <c r="ET88" s="175"/>
      <c r="EU88" s="175"/>
      <c r="EV88" s="175"/>
      <c r="EW88" s="175"/>
      <c r="EX88" s="175"/>
      <c r="EY88" s="175"/>
      <c r="EZ88" s="175"/>
      <c r="FA88" s="175"/>
      <c r="FB88" s="175"/>
      <c r="FC88" s="175"/>
      <c r="FD88" s="175"/>
      <c r="FE88" s="175"/>
      <c r="FF88" s="175"/>
      <c r="FG88" s="175"/>
      <c r="FH88" s="175"/>
      <c r="FI88" s="175"/>
      <c r="FJ88" s="175"/>
      <c r="FK88" s="175"/>
      <c r="FL88" s="175"/>
      <c r="FM88" s="175"/>
      <c r="FN88" s="175"/>
      <c r="FO88" s="175"/>
      <c r="FP88" s="175"/>
      <c r="FQ88" s="175"/>
      <c r="FR88" s="175"/>
      <c r="FS88" s="175"/>
      <c r="FT88" s="175"/>
      <c r="FU88" s="175"/>
      <c r="FV88" s="175"/>
      <c r="FW88" s="175"/>
      <c r="FX88" s="175"/>
      <c r="FY88" s="175"/>
    </row>
    <row r="89" spans="1:181" s="59" customFormat="1" ht="26.25" customHeight="1">
      <c r="A89" s="84"/>
      <c r="B89" s="91"/>
      <c r="C89" s="44" t="str">
        <f>"0920"</f>
        <v>0920</v>
      </c>
      <c r="D89" s="87" t="s">
        <v>24</v>
      </c>
      <c r="E89" s="51">
        <f>H89</f>
        <v>0</v>
      </c>
      <c r="F89" s="51">
        <v>67.82</v>
      </c>
      <c r="G89" s="70"/>
      <c r="H89" s="71">
        <v>0</v>
      </c>
      <c r="I89" s="51">
        <v>67.82</v>
      </c>
      <c r="J89" s="72"/>
      <c r="K89" s="50"/>
      <c r="L89" s="51"/>
      <c r="M89" s="72"/>
      <c r="N89" s="50"/>
      <c r="O89" s="51"/>
      <c r="P89" s="73"/>
      <c r="Q89" s="54"/>
      <c r="R89" s="54"/>
      <c r="S89" s="5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</row>
    <row r="90" spans="1:181" s="59" customFormat="1" ht="42.75" customHeight="1">
      <c r="A90" s="84"/>
      <c r="B90" s="78">
        <v>75831</v>
      </c>
      <c r="C90" s="77"/>
      <c r="D90" s="117" t="s">
        <v>103</v>
      </c>
      <c r="E90" s="79">
        <f>SUM(E91:E91)</f>
        <v>57368</v>
      </c>
      <c r="F90" s="79">
        <f>SUM(F91:F91)</f>
        <v>55577</v>
      </c>
      <c r="G90" s="129"/>
      <c r="H90" s="79">
        <f>SUM(H91:H91)</f>
        <v>57368</v>
      </c>
      <c r="I90" s="79">
        <f>SUM(I91:I91)</f>
        <v>55577</v>
      </c>
      <c r="J90" s="81">
        <f aca="true" t="shared" si="16" ref="J90:J98">I90/H90</f>
        <v>0.9687805048110445</v>
      </c>
      <c r="K90" s="80"/>
      <c r="L90" s="79"/>
      <c r="M90" s="81"/>
      <c r="N90" s="80"/>
      <c r="O90" s="79"/>
      <c r="P90" s="125"/>
      <c r="Q90" s="54"/>
      <c r="R90" s="54"/>
      <c r="S90" s="5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</row>
    <row r="91" spans="1:181" s="59" customFormat="1" ht="25.5" customHeight="1" thickBot="1">
      <c r="A91" s="130"/>
      <c r="B91" s="91"/>
      <c r="C91" s="44">
        <v>2920</v>
      </c>
      <c r="D91" s="87" t="s">
        <v>122</v>
      </c>
      <c r="E91" s="51">
        <v>57368</v>
      </c>
      <c r="F91" s="51">
        <v>55577</v>
      </c>
      <c r="G91" s="47">
        <f>F91/E91</f>
        <v>0.9687805048110445</v>
      </c>
      <c r="H91" s="71">
        <v>57368</v>
      </c>
      <c r="I91" s="51">
        <v>55577</v>
      </c>
      <c r="J91" s="72">
        <f t="shared" si="16"/>
        <v>0.9687805048110445</v>
      </c>
      <c r="K91" s="50"/>
      <c r="L91" s="51"/>
      <c r="M91" s="72"/>
      <c r="N91" s="50"/>
      <c r="O91" s="51"/>
      <c r="P91" s="73"/>
      <c r="Q91" s="54"/>
      <c r="R91" s="54"/>
      <c r="S91" s="5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</row>
    <row r="92" spans="1:181" s="59" customFormat="1" ht="30" customHeight="1" thickBot="1">
      <c r="A92" s="112">
        <v>801</v>
      </c>
      <c r="B92" s="112"/>
      <c r="C92" s="167"/>
      <c r="D92" s="112" t="s">
        <v>37</v>
      </c>
      <c r="E92" s="173">
        <f>E93+E95</f>
        <v>87653</v>
      </c>
      <c r="F92" s="173">
        <f>F93+F95</f>
        <v>66452.87</v>
      </c>
      <c r="G92" s="169">
        <f>F92/E92</f>
        <v>0.7581357169748896</v>
      </c>
      <c r="H92" s="173">
        <f>H93+H95</f>
        <v>87653</v>
      </c>
      <c r="I92" s="173">
        <f>I93+I95</f>
        <v>66452.87</v>
      </c>
      <c r="J92" s="178">
        <f t="shared" si="16"/>
        <v>0.7581357169748896</v>
      </c>
      <c r="K92" s="172"/>
      <c r="L92" s="173"/>
      <c r="M92" s="171"/>
      <c r="N92" s="172"/>
      <c r="O92" s="173"/>
      <c r="P92" s="179"/>
      <c r="Q92" s="54"/>
      <c r="R92" s="54"/>
      <c r="S92" s="5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</row>
    <row r="93" spans="1:181" s="59" customFormat="1" ht="31.5" customHeight="1">
      <c r="A93" s="104"/>
      <c r="B93" s="131">
        <v>80101</v>
      </c>
      <c r="C93" s="132"/>
      <c r="D93" s="45" t="s">
        <v>38</v>
      </c>
      <c r="E93" s="67">
        <f>SUM(E94:E94)</f>
        <v>19264</v>
      </c>
      <c r="F93" s="67">
        <f>SUM(F94:F94)</f>
        <v>14703.19</v>
      </c>
      <c r="G93" s="47">
        <f>F93/E93</f>
        <v>0.7632469892026579</v>
      </c>
      <c r="H93" s="67">
        <f>SUM(H94:H94)</f>
        <v>19264</v>
      </c>
      <c r="I93" s="67">
        <f>SUM(I94:I94)</f>
        <v>14703.19</v>
      </c>
      <c r="J93" s="52">
        <f t="shared" si="16"/>
        <v>0.7632469892026579</v>
      </c>
      <c r="K93" s="133"/>
      <c r="L93" s="67"/>
      <c r="M93" s="72"/>
      <c r="N93" s="68"/>
      <c r="O93" s="67"/>
      <c r="P93" s="69"/>
      <c r="Q93" s="54"/>
      <c r="R93" s="54"/>
      <c r="S93" s="5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</row>
    <row r="94" spans="1:181" s="186" customFormat="1" ht="42.75" customHeight="1">
      <c r="A94" s="104"/>
      <c r="B94" s="45"/>
      <c r="C94" s="57">
        <v>2030</v>
      </c>
      <c r="D94" s="58" t="s">
        <v>105</v>
      </c>
      <c r="E94" s="51">
        <v>19264</v>
      </c>
      <c r="F94" s="51">
        <v>14703.19</v>
      </c>
      <c r="G94" s="70">
        <f aca="true" t="shared" si="17" ref="G94:G119">F94/E94</f>
        <v>0.7632469892026579</v>
      </c>
      <c r="H94" s="71">
        <v>19264</v>
      </c>
      <c r="I94" s="51">
        <v>14703.19</v>
      </c>
      <c r="J94" s="72">
        <f t="shared" si="16"/>
        <v>0.7632469892026579</v>
      </c>
      <c r="K94" s="50"/>
      <c r="L94" s="51"/>
      <c r="M94" s="72"/>
      <c r="N94" s="50"/>
      <c r="O94" s="51"/>
      <c r="P94" s="73"/>
      <c r="Q94" s="164"/>
      <c r="R94" s="164"/>
      <c r="S94" s="164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5"/>
      <c r="AQ94" s="175"/>
      <c r="AR94" s="175"/>
      <c r="AS94" s="175"/>
      <c r="AT94" s="175"/>
      <c r="AU94" s="175"/>
      <c r="AV94" s="175"/>
      <c r="AW94" s="175"/>
      <c r="AX94" s="175"/>
      <c r="AY94" s="175"/>
      <c r="AZ94" s="175"/>
      <c r="BA94" s="175"/>
      <c r="BB94" s="175"/>
      <c r="BC94" s="175"/>
      <c r="BD94" s="175"/>
      <c r="BE94" s="175"/>
      <c r="BF94" s="175"/>
      <c r="BG94" s="175"/>
      <c r="BH94" s="175"/>
      <c r="BI94" s="175"/>
      <c r="BJ94" s="175"/>
      <c r="BK94" s="175"/>
      <c r="BL94" s="175"/>
      <c r="BM94" s="175"/>
      <c r="BN94" s="175"/>
      <c r="BO94" s="175"/>
      <c r="BP94" s="175"/>
      <c r="BQ94" s="175"/>
      <c r="BR94" s="175"/>
      <c r="BS94" s="175"/>
      <c r="BT94" s="175"/>
      <c r="BU94" s="175"/>
      <c r="BV94" s="175"/>
      <c r="BW94" s="175"/>
      <c r="BX94" s="175"/>
      <c r="BY94" s="175"/>
      <c r="BZ94" s="175"/>
      <c r="CA94" s="175"/>
      <c r="CB94" s="175"/>
      <c r="CC94" s="175"/>
      <c r="CD94" s="175"/>
      <c r="CE94" s="175"/>
      <c r="CF94" s="175"/>
      <c r="CG94" s="175"/>
      <c r="CH94" s="175"/>
      <c r="CI94" s="175"/>
      <c r="CJ94" s="175"/>
      <c r="CK94" s="175"/>
      <c r="CL94" s="175"/>
      <c r="CM94" s="175"/>
      <c r="CN94" s="175"/>
      <c r="CO94" s="175"/>
      <c r="CP94" s="175"/>
      <c r="CQ94" s="175"/>
      <c r="CR94" s="175"/>
      <c r="CS94" s="175"/>
      <c r="CT94" s="175"/>
      <c r="CU94" s="175"/>
      <c r="CV94" s="175"/>
      <c r="CW94" s="175"/>
      <c r="CX94" s="175"/>
      <c r="CY94" s="175"/>
      <c r="CZ94" s="175"/>
      <c r="DA94" s="175"/>
      <c r="DB94" s="175"/>
      <c r="DC94" s="175"/>
      <c r="DD94" s="175"/>
      <c r="DE94" s="175"/>
      <c r="DF94" s="175"/>
      <c r="DG94" s="175"/>
      <c r="DH94" s="175"/>
      <c r="DI94" s="175"/>
      <c r="DJ94" s="175"/>
      <c r="DK94" s="175"/>
      <c r="DL94" s="175"/>
      <c r="DM94" s="175"/>
      <c r="DN94" s="175"/>
      <c r="DO94" s="175"/>
      <c r="DP94" s="175"/>
      <c r="DQ94" s="175"/>
      <c r="DR94" s="175"/>
      <c r="DS94" s="175"/>
      <c r="DT94" s="175"/>
      <c r="DU94" s="175"/>
      <c r="DV94" s="175"/>
      <c r="DW94" s="175"/>
      <c r="DX94" s="175"/>
      <c r="DY94" s="175"/>
      <c r="DZ94" s="175"/>
      <c r="EA94" s="175"/>
      <c r="EB94" s="175"/>
      <c r="EC94" s="175"/>
      <c r="ED94" s="175"/>
      <c r="EE94" s="175"/>
      <c r="EF94" s="175"/>
      <c r="EG94" s="175"/>
      <c r="EH94" s="175"/>
      <c r="EI94" s="175"/>
      <c r="EJ94" s="175"/>
      <c r="EK94" s="175"/>
      <c r="EL94" s="175"/>
      <c r="EM94" s="175"/>
      <c r="EN94" s="175"/>
      <c r="EO94" s="175"/>
      <c r="EP94" s="175"/>
      <c r="EQ94" s="175"/>
      <c r="ER94" s="175"/>
      <c r="ES94" s="175"/>
      <c r="ET94" s="175"/>
      <c r="EU94" s="175"/>
      <c r="EV94" s="175"/>
      <c r="EW94" s="175"/>
      <c r="EX94" s="175"/>
      <c r="EY94" s="175"/>
      <c r="EZ94" s="175"/>
      <c r="FA94" s="175"/>
      <c r="FB94" s="175"/>
      <c r="FC94" s="175"/>
      <c r="FD94" s="175"/>
      <c r="FE94" s="175"/>
      <c r="FF94" s="175"/>
      <c r="FG94" s="175"/>
      <c r="FH94" s="175"/>
      <c r="FI94" s="175"/>
      <c r="FJ94" s="175"/>
      <c r="FK94" s="175"/>
      <c r="FL94" s="175"/>
      <c r="FM94" s="175"/>
      <c r="FN94" s="175"/>
      <c r="FO94" s="175"/>
      <c r="FP94" s="175"/>
      <c r="FQ94" s="175"/>
      <c r="FR94" s="175"/>
      <c r="FS94" s="175"/>
      <c r="FT94" s="175"/>
      <c r="FU94" s="175"/>
      <c r="FV94" s="175"/>
      <c r="FW94" s="175"/>
      <c r="FX94" s="175"/>
      <c r="FY94" s="175"/>
    </row>
    <row r="95" spans="1:181" s="55" customFormat="1" ht="31.5" customHeight="1">
      <c r="A95" s="134"/>
      <c r="B95" s="78">
        <v>80195</v>
      </c>
      <c r="C95" s="135"/>
      <c r="D95" s="117" t="s">
        <v>4</v>
      </c>
      <c r="E95" s="79">
        <f>E96+E97</f>
        <v>68389</v>
      </c>
      <c r="F95" s="79">
        <f>F96+F97</f>
        <v>51749.68</v>
      </c>
      <c r="G95" s="94">
        <f>F95/E95</f>
        <v>0.7566959598765883</v>
      </c>
      <c r="H95" s="95">
        <f>H96+H97</f>
        <v>68389</v>
      </c>
      <c r="I95" s="95">
        <f>I96+I97</f>
        <v>51749.68</v>
      </c>
      <c r="J95" s="96">
        <f t="shared" si="16"/>
        <v>0.7566959598765883</v>
      </c>
      <c r="K95" s="100"/>
      <c r="L95" s="98"/>
      <c r="M95" s="99"/>
      <c r="N95" s="100"/>
      <c r="O95" s="98"/>
      <c r="P95" s="101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</row>
    <row r="96" spans="1:181" s="55" customFormat="1" ht="54" customHeight="1">
      <c r="A96" s="104"/>
      <c r="B96" s="45"/>
      <c r="C96" s="57">
        <v>2030</v>
      </c>
      <c r="D96" s="58" t="s">
        <v>105</v>
      </c>
      <c r="E96" s="51">
        <v>48167</v>
      </c>
      <c r="F96" s="51">
        <v>31527.68</v>
      </c>
      <c r="G96" s="47">
        <f>F96/E96</f>
        <v>0.6545493802811053</v>
      </c>
      <c r="H96" s="71">
        <v>48167</v>
      </c>
      <c r="I96" s="51">
        <v>31527.68</v>
      </c>
      <c r="J96" s="52">
        <f t="shared" si="16"/>
        <v>0.6545493802811053</v>
      </c>
      <c r="K96" s="50"/>
      <c r="L96" s="51"/>
      <c r="M96" s="72"/>
      <c r="N96" s="50"/>
      <c r="O96" s="51"/>
      <c r="P96" s="73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</row>
    <row r="97" spans="1:181" s="55" customFormat="1" ht="63.75" customHeight="1" thickBot="1">
      <c r="A97" s="136"/>
      <c r="B97" s="45"/>
      <c r="C97" s="57">
        <v>6330</v>
      </c>
      <c r="D97" s="58" t="s">
        <v>173</v>
      </c>
      <c r="E97" s="51">
        <v>20222</v>
      </c>
      <c r="F97" s="51">
        <v>20222</v>
      </c>
      <c r="G97" s="70">
        <f>F97/E97</f>
        <v>1</v>
      </c>
      <c r="H97" s="71">
        <v>20222</v>
      </c>
      <c r="I97" s="51">
        <v>20222</v>
      </c>
      <c r="J97" s="72">
        <f t="shared" si="16"/>
        <v>1</v>
      </c>
      <c r="K97" s="50"/>
      <c r="L97" s="51"/>
      <c r="M97" s="72"/>
      <c r="N97" s="50"/>
      <c r="O97" s="51"/>
      <c r="P97" s="73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</row>
    <row r="98" spans="1:181" s="55" customFormat="1" ht="30" customHeight="1" thickBot="1">
      <c r="A98" s="112">
        <v>852</v>
      </c>
      <c r="B98" s="112"/>
      <c r="C98" s="167"/>
      <c r="D98" s="112" t="s">
        <v>96</v>
      </c>
      <c r="E98" s="173">
        <f>E99+E101+E103+E106+E110+E112</f>
        <v>2291749</v>
      </c>
      <c r="F98" s="173">
        <f>F99+F101+F103+F106+F110+F112</f>
        <v>2276699.62</v>
      </c>
      <c r="G98" s="169">
        <f t="shared" si="17"/>
        <v>0.9934332337441841</v>
      </c>
      <c r="H98" s="173">
        <f>H99+H101+H103+H106+H112</f>
        <v>385500</v>
      </c>
      <c r="I98" s="173">
        <f>I99+I101+I103+I106+I112</f>
        <v>389192.4</v>
      </c>
      <c r="J98" s="188">
        <f t="shared" si="16"/>
        <v>1.0095782101167317</v>
      </c>
      <c r="K98" s="172">
        <f>K99+K101+K103+K106+K110+K112</f>
        <v>1906249</v>
      </c>
      <c r="L98" s="173">
        <f>L99+L101+L103+L106+L110+L112</f>
        <v>1887507.22</v>
      </c>
      <c r="M98" s="178">
        <f aca="true" t="shared" si="18" ref="M98:M104">L98/K98</f>
        <v>0.9901682413997331</v>
      </c>
      <c r="N98" s="172"/>
      <c r="O98" s="173"/>
      <c r="P98" s="179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</row>
    <row r="99" spans="1:181" s="55" customFormat="1" ht="60.75">
      <c r="A99" s="104"/>
      <c r="B99" s="114">
        <v>85212</v>
      </c>
      <c r="C99" s="57"/>
      <c r="D99" s="30" t="s">
        <v>124</v>
      </c>
      <c r="E99" s="79">
        <f>SUM(E100:E100)</f>
        <v>1801500</v>
      </c>
      <c r="F99" s="79">
        <f>SUM(F100:F100)</f>
        <v>1783181.17</v>
      </c>
      <c r="G99" s="129">
        <f t="shared" si="17"/>
        <v>0.9898313461004717</v>
      </c>
      <c r="H99" s="79"/>
      <c r="I99" s="98"/>
      <c r="J99" s="72"/>
      <c r="K99" s="100">
        <f>SUM(K100:K100)</f>
        <v>1801500</v>
      </c>
      <c r="L99" s="100">
        <f>SUM(L100:L100)</f>
        <v>1783181.17</v>
      </c>
      <c r="M99" s="118">
        <f t="shared" si="18"/>
        <v>0.9898313461004717</v>
      </c>
      <c r="N99" s="100"/>
      <c r="O99" s="98"/>
      <c r="P99" s="101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</row>
    <row r="100" spans="1:181" s="59" customFormat="1" ht="81">
      <c r="A100" s="104"/>
      <c r="B100" s="114"/>
      <c r="C100" s="57">
        <v>2010</v>
      </c>
      <c r="D100" s="58" t="s">
        <v>157</v>
      </c>
      <c r="E100" s="51">
        <v>1801500</v>
      </c>
      <c r="F100" s="51">
        <v>1783181.17</v>
      </c>
      <c r="G100" s="70">
        <f t="shared" si="17"/>
        <v>0.9898313461004717</v>
      </c>
      <c r="H100" s="71"/>
      <c r="I100" s="51"/>
      <c r="J100" s="72"/>
      <c r="K100" s="50">
        <v>1801500</v>
      </c>
      <c r="L100" s="51">
        <v>1783181.17</v>
      </c>
      <c r="M100" s="72">
        <f t="shared" si="18"/>
        <v>0.9898313461004717</v>
      </c>
      <c r="N100" s="50"/>
      <c r="O100" s="51"/>
      <c r="P100" s="73"/>
      <c r="Q100" s="54"/>
      <c r="R100" s="54"/>
      <c r="S100" s="5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</row>
    <row r="101" spans="1:181" s="59" customFormat="1" ht="81">
      <c r="A101" s="104"/>
      <c r="B101" s="116">
        <v>85213</v>
      </c>
      <c r="C101" s="135"/>
      <c r="D101" s="117" t="s">
        <v>125</v>
      </c>
      <c r="E101" s="79">
        <f>E102</f>
        <v>14000</v>
      </c>
      <c r="F101" s="79">
        <f>F102</f>
        <v>13577.05</v>
      </c>
      <c r="G101" s="129">
        <f t="shared" si="17"/>
        <v>0.9697892857142857</v>
      </c>
      <c r="H101" s="95"/>
      <c r="I101" s="79"/>
      <c r="J101" s="81"/>
      <c r="K101" s="80">
        <f>K102</f>
        <v>14000</v>
      </c>
      <c r="L101" s="80">
        <f>L102</f>
        <v>13577.05</v>
      </c>
      <c r="M101" s="118">
        <f t="shared" si="18"/>
        <v>0.9697892857142857</v>
      </c>
      <c r="N101" s="80"/>
      <c r="O101" s="79"/>
      <c r="P101" s="125"/>
      <c r="Q101" s="54"/>
      <c r="R101" s="54"/>
      <c r="S101" s="5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</row>
    <row r="102" spans="1:181" s="55" customFormat="1" ht="81">
      <c r="A102" s="104"/>
      <c r="B102" s="114"/>
      <c r="C102" s="57">
        <v>2010</v>
      </c>
      <c r="D102" s="58" t="s">
        <v>157</v>
      </c>
      <c r="E102" s="51">
        <v>14000</v>
      </c>
      <c r="F102" s="51">
        <v>13577.05</v>
      </c>
      <c r="G102" s="70">
        <f t="shared" si="17"/>
        <v>0.9697892857142857</v>
      </c>
      <c r="H102" s="71"/>
      <c r="I102" s="51"/>
      <c r="J102" s="72"/>
      <c r="K102" s="50">
        <v>14000</v>
      </c>
      <c r="L102" s="51">
        <v>13577.05</v>
      </c>
      <c r="M102" s="72">
        <f t="shared" si="18"/>
        <v>0.9697892857142857</v>
      </c>
      <c r="N102" s="50"/>
      <c r="O102" s="51"/>
      <c r="P102" s="73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</row>
    <row r="103" spans="1:181" s="55" customFormat="1" ht="40.5">
      <c r="A103" s="104"/>
      <c r="B103" s="116">
        <v>85214</v>
      </c>
      <c r="C103" s="135"/>
      <c r="D103" s="117" t="s">
        <v>126</v>
      </c>
      <c r="E103" s="79">
        <f>SUM(E104:E105)</f>
        <v>217749</v>
      </c>
      <c r="F103" s="79">
        <f>SUM(F104:F105)</f>
        <v>217749</v>
      </c>
      <c r="G103" s="129">
        <f t="shared" si="17"/>
        <v>1</v>
      </c>
      <c r="H103" s="79">
        <f>SUM(H104:H105)</f>
        <v>128000</v>
      </c>
      <c r="I103" s="79">
        <f>SUM(I104:I105)</f>
        <v>128000</v>
      </c>
      <c r="J103" s="96">
        <f>I103/H103</f>
        <v>1</v>
      </c>
      <c r="K103" s="100">
        <f>K104</f>
        <v>89749</v>
      </c>
      <c r="L103" s="100">
        <f>L104</f>
        <v>89749</v>
      </c>
      <c r="M103" s="118">
        <f t="shared" si="18"/>
        <v>1</v>
      </c>
      <c r="N103" s="100"/>
      <c r="O103" s="98"/>
      <c r="P103" s="101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</row>
    <row r="104" spans="1:181" s="55" customFormat="1" ht="81">
      <c r="A104" s="104"/>
      <c r="B104" s="114"/>
      <c r="C104" s="57">
        <v>2010</v>
      </c>
      <c r="D104" s="58" t="s">
        <v>157</v>
      </c>
      <c r="E104" s="51">
        <v>89749</v>
      </c>
      <c r="F104" s="51">
        <v>89749</v>
      </c>
      <c r="G104" s="70">
        <f t="shared" si="17"/>
        <v>1</v>
      </c>
      <c r="H104" s="71"/>
      <c r="I104" s="51"/>
      <c r="J104" s="72"/>
      <c r="K104" s="50">
        <v>89749</v>
      </c>
      <c r="L104" s="51">
        <v>89749</v>
      </c>
      <c r="M104" s="72">
        <f t="shared" si="18"/>
        <v>1</v>
      </c>
      <c r="N104" s="50"/>
      <c r="O104" s="51"/>
      <c r="P104" s="73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</row>
    <row r="105" spans="1:181" s="55" customFormat="1" ht="40.5">
      <c r="A105" s="104"/>
      <c r="B105" s="114"/>
      <c r="C105" s="57">
        <v>2030</v>
      </c>
      <c r="D105" s="58" t="s">
        <v>105</v>
      </c>
      <c r="E105" s="51">
        <v>128000</v>
      </c>
      <c r="F105" s="51">
        <v>128000</v>
      </c>
      <c r="G105" s="70">
        <f t="shared" si="17"/>
        <v>1</v>
      </c>
      <c r="H105" s="71">
        <v>128000</v>
      </c>
      <c r="I105" s="51">
        <v>128000</v>
      </c>
      <c r="J105" s="72">
        <f aca="true" t="shared" si="19" ref="J105:J114">I105/H105</f>
        <v>1</v>
      </c>
      <c r="K105" s="50"/>
      <c r="L105" s="51"/>
      <c r="M105" s="72"/>
      <c r="N105" s="50"/>
      <c r="O105" s="51"/>
      <c r="P105" s="73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</row>
    <row r="106" spans="1:181" s="55" customFormat="1" ht="20.25">
      <c r="A106" s="104"/>
      <c r="B106" s="78">
        <v>85219</v>
      </c>
      <c r="C106" s="77"/>
      <c r="D106" s="78" t="s">
        <v>30</v>
      </c>
      <c r="E106" s="79">
        <f>SUM(E107:E108)</f>
        <v>117500</v>
      </c>
      <c r="F106" s="79">
        <f>SUM(F107:F108)</f>
        <v>121192.4</v>
      </c>
      <c r="G106" s="94">
        <f t="shared" si="17"/>
        <v>1.0314246808510639</v>
      </c>
      <c r="H106" s="79">
        <f>SUM(H107:H108)</f>
        <v>117500</v>
      </c>
      <c r="I106" s="79">
        <f>SUM(I107:I108)</f>
        <v>121192.4</v>
      </c>
      <c r="J106" s="96">
        <f t="shared" si="19"/>
        <v>1.0314246808510639</v>
      </c>
      <c r="K106" s="95"/>
      <c r="L106" s="79"/>
      <c r="M106" s="81"/>
      <c r="N106" s="80"/>
      <c r="O106" s="79"/>
      <c r="P106" s="125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</row>
    <row r="107" spans="1:16" s="24" customFormat="1" ht="18.75" customHeight="1">
      <c r="A107" s="104"/>
      <c r="B107" s="45"/>
      <c r="C107" s="44" t="str">
        <f>"0830"</f>
        <v>0830</v>
      </c>
      <c r="D107" s="87" t="s">
        <v>6</v>
      </c>
      <c r="E107" s="51">
        <v>0</v>
      </c>
      <c r="F107" s="51">
        <v>3692.4</v>
      </c>
      <c r="G107" s="70" t="s">
        <v>168</v>
      </c>
      <c r="H107" s="71">
        <v>0</v>
      </c>
      <c r="I107" s="51">
        <v>3692.4</v>
      </c>
      <c r="J107" s="72" t="s">
        <v>168</v>
      </c>
      <c r="K107" s="50"/>
      <c r="L107" s="51"/>
      <c r="M107" s="72"/>
      <c r="N107" s="50"/>
      <c r="O107" s="51"/>
      <c r="P107" s="73"/>
    </row>
    <row r="108" spans="1:16" s="24" customFormat="1" ht="43.5" customHeight="1">
      <c r="A108" s="476"/>
      <c r="B108" s="211"/>
      <c r="C108" s="217">
        <v>2030</v>
      </c>
      <c r="D108" s="218" t="s">
        <v>105</v>
      </c>
      <c r="E108" s="213">
        <v>117500</v>
      </c>
      <c r="F108" s="213">
        <v>117500</v>
      </c>
      <c r="G108" s="219">
        <f t="shared" si="17"/>
        <v>1</v>
      </c>
      <c r="H108" s="214">
        <v>117500</v>
      </c>
      <c r="I108" s="213">
        <v>117500</v>
      </c>
      <c r="J108" s="215">
        <f t="shared" si="19"/>
        <v>1</v>
      </c>
      <c r="K108" s="216"/>
      <c r="L108" s="213"/>
      <c r="M108" s="215"/>
      <c r="N108" s="216"/>
      <c r="O108" s="213"/>
      <c r="P108" s="451"/>
    </row>
    <row r="109" spans="1:16" s="195" customFormat="1" ht="22.5" customHeight="1" thickBot="1">
      <c r="A109" s="1">
        <v>1</v>
      </c>
      <c r="B109" s="1">
        <v>2</v>
      </c>
      <c r="C109" s="233">
        <v>3</v>
      </c>
      <c r="D109" s="1">
        <v>4</v>
      </c>
      <c r="E109" s="2">
        <v>5</v>
      </c>
      <c r="F109" s="2">
        <v>6</v>
      </c>
      <c r="G109" s="234">
        <v>7</v>
      </c>
      <c r="H109" s="235">
        <v>8</v>
      </c>
      <c r="I109" s="1">
        <v>9</v>
      </c>
      <c r="J109" s="236">
        <v>10</v>
      </c>
      <c r="K109" s="21">
        <v>11</v>
      </c>
      <c r="L109" s="1">
        <v>12</v>
      </c>
      <c r="M109" s="236">
        <v>13</v>
      </c>
      <c r="N109" s="21">
        <v>14</v>
      </c>
      <c r="O109" s="1">
        <v>15</v>
      </c>
      <c r="P109" s="1">
        <v>16</v>
      </c>
    </row>
    <row r="110" spans="1:16" s="24" customFormat="1" ht="23.25" customHeight="1" thickTop="1">
      <c r="A110" s="477"/>
      <c r="B110" s="460">
        <v>85278</v>
      </c>
      <c r="C110" s="461"/>
      <c r="D110" s="478" t="s">
        <v>158</v>
      </c>
      <c r="E110" s="479">
        <f>E111</f>
        <v>1000</v>
      </c>
      <c r="F110" s="479">
        <f>F111</f>
        <v>1000</v>
      </c>
      <c r="G110" s="480">
        <f>F110/E110</f>
        <v>1</v>
      </c>
      <c r="H110" s="481"/>
      <c r="I110" s="479"/>
      <c r="J110" s="482"/>
      <c r="K110" s="481">
        <f>K111</f>
        <v>1000</v>
      </c>
      <c r="L110" s="479">
        <f>L111</f>
        <v>1000</v>
      </c>
      <c r="M110" s="483">
        <f>L110/K110</f>
        <v>1</v>
      </c>
      <c r="N110" s="467"/>
      <c r="O110" s="463"/>
      <c r="P110" s="484"/>
    </row>
    <row r="111" spans="1:16" s="24" customFormat="1" ht="84.75" customHeight="1">
      <c r="A111" s="104"/>
      <c r="B111" s="45"/>
      <c r="C111" s="57">
        <v>2010</v>
      </c>
      <c r="D111" s="58" t="s">
        <v>157</v>
      </c>
      <c r="E111" s="51">
        <v>1000</v>
      </c>
      <c r="F111" s="51">
        <v>1000</v>
      </c>
      <c r="G111" s="70">
        <f>F111/E111</f>
        <v>1</v>
      </c>
      <c r="H111" s="71"/>
      <c r="I111" s="51"/>
      <c r="J111" s="93"/>
      <c r="K111" s="71">
        <v>1000</v>
      </c>
      <c r="L111" s="51">
        <v>1000</v>
      </c>
      <c r="M111" s="345">
        <f>L111/K111</f>
        <v>1</v>
      </c>
      <c r="N111" s="50"/>
      <c r="O111" s="51"/>
      <c r="P111" s="73"/>
    </row>
    <row r="112" spans="1:16" ht="27" customHeight="1">
      <c r="A112" s="84"/>
      <c r="B112" s="78">
        <v>85295</v>
      </c>
      <c r="C112" s="135"/>
      <c r="D112" s="78" t="s">
        <v>4</v>
      </c>
      <c r="E112" s="79">
        <f>SUM(E113:E113)</f>
        <v>140000</v>
      </c>
      <c r="F112" s="79">
        <f>SUM(F113:F113)</f>
        <v>140000</v>
      </c>
      <c r="G112" s="94">
        <f t="shared" si="17"/>
        <v>1</v>
      </c>
      <c r="H112" s="79">
        <f>SUM(H113:H113)</f>
        <v>140000</v>
      </c>
      <c r="I112" s="79">
        <f>SUM(I113:I113)</f>
        <v>140000</v>
      </c>
      <c r="J112" s="102">
        <f t="shared" si="19"/>
        <v>1</v>
      </c>
      <c r="K112" s="95"/>
      <c r="L112" s="79"/>
      <c r="M112" s="72" t="s">
        <v>168</v>
      </c>
      <c r="N112" s="80"/>
      <c r="O112" s="79"/>
      <c r="P112" s="125"/>
    </row>
    <row r="113" spans="1:16" s="24" customFormat="1" ht="47.25" customHeight="1" thickBot="1">
      <c r="A113" s="104"/>
      <c r="B113" s="45"/>
      <c r="C113" s="57">
        <v>2030</v>
      </c>
      <c r="D113" s="58" t="s">
        <v>105</v>
      </c>
      <c r="E113" s="51">
        <v>140000</v>
      </c>
      <c r="F113" s="51">
        <v>140000</v>
      </c>
      <c r="G113" s="70">
        <f t="shared" si="17"/>
        <v>1</v>
      </c>
      <c r="H113" s="71">
        <v>140000</v>
      </c>
      <c r="I113" s="51">
        <v>140000</v>
      </c>
      <c r="J113" s="72">
        <f t="shared" si="19"/>
        <v>1</v>
      </c>
      <c r="K113" s="50"/>
      <c r="L113" s="51"/>
      <c r="M113" s="72" t="s">
        <v>168</v>
      </c>
      <c r="N113" s="50"/>
      <c r="O113" s="51"/>
      <c r="P113" s="73"/>
    </row>
    <row r="114" spans="1:16" s="24" customFormat="1" ht="30.75" customHeight="1" thickBot="1">
      <c r="A114" s="113">
        <v>854</v>
      </c>
      <c r="B114" s="113"/>
      <c r="C114" s="196"/>
      <c r="D114" s="113" t="s">
        <v>41</v>
      </c>
      <c r="E114" s="168">
        <f>E115</f>
        <v>163894</v>
      </c>
      <c r="F114" s="168">
        <f>F115</f>
        <v>120152.91</v>
      </c>
      <c r="G114" s="189">
        <f t="shared" si="17"/>
        <v>0.7331135367981745</v>
      </c>
      <c r="H114" s="168">
        <f>H115</f>
        <v>145450</v>
      </c>
      <c r="I114" s="168">
        <f>I115</f>
        <v>101709</v>
      </c>
      <c r="J114" s="192">
        <f t="shared" si="19"/>
        <v>0.6992712272258508</v>
      </c>
      <c r="K114" s="193"/>
      <c r="L114" s="168"/>
      <c r="M114" s="198" t="s">
        <v>168</v>
      </c>
      <c r="N114" s="193">
        <f>N115</f>
        <v>18444</v>
      </c>
      <c r="O114" s="168">
        <f>O115</f>
        <v>18443.91</v>
      </c>
      <c r="P114" s="194">
        <f>O114/N114</f>
        <v>0.9999951203643461</v>
      </c>
    </row>
    <row r="115" spans="1:16" s="175" customFormat="1" ht="30" customHeight="1">
      <c r="A115" s="137"/>
      <c r="B115" s="45">
        <v>85415</v>
      </c>
      <c r="C115" s="44"/>
      <c r="D115" s="45" t="s">
        <v>81</v>
      </c>
      <c r="E115" s="67">
        <f>E116+E118+E119</f>
        <v>163894</v>
      </c>
      <c r="F115" s="67">
        <f>F116+F118+F119</f>
        <v>120152.91</v>
      </c>
      <c r="G115" s="47">
        <f t="shared" si="17"/>
        <v>0.7331135367981745</v>
      </c>
      <c r="H115" s="67">
        <f>SUM(H116:H119)</f>
        <v>145450</v>
      </c>
      <c r="I115" s="67">
        <f>SUM(I116:I119)</f>
        <v>101709</v>
      </c>
      <c r="J115" s="52">
        <f>I116/H116</f>
        <v>0.6992712272258508</v>
      </c>
      <c r="K115" s="68"/>
      <c r="L115" s="67"/>
      <c r="M115" s="72" t="s">
        <v>168</v>
      </c>
      <c r="N115" s="68">
        <f>N118+N119</f>
        <v>18444</v>
      </c>
      <c r="O115" s="68">
        <f>O118+O119</f>
        <v>18443.91</v>
      </c>
      <c r="P115" s="69">
        <f>O115/N115</f>
        <v>0.9999951203643461</v>
      </c>
    </row>
    <row r="116" spans="1:16" s="24" customFormat="1" ht="51.75" customHeight="1">
      <c r="A116" s="104"/>
      <c r="B116" s="45"/>
      <c r="C116" s="57">
        <v>2030</v>
      </c>
      <c r="D116" s="58" t="s">
        <v>105</v>
      </c>
      <c r="E116" s="51">
        <v>145450</v>
      </c>
      <c r="F116" s="51">
        <v>101709</v>
      </c>
      <c r="G116" s="70">
        <f t="shared" si="17"/>
        <v>0.6992712272258508</v>
      </c>
      <c r="H116" s="71">
        <v>145450</v>
      </c>
      <c r="I116" s="51">
        <v>101709</v>
      </c>
      <c r="J116" s="72">
        <f>I116/H116</f>
        <v>0.6992712272258508</v>
      </c>
      <c r="K116" s="50"/>
      <c r="L116" s="51"/>
      <c r="M116" s="72" t="s">
        <v>168</v>
      </c>
      <c r="N116" s="50"/>
      <c r="O116" s="51"/>
      <c r="P116" s="69"/>
    </row>
    <row r="117" spans="1:16" s="24" customFormat="1" ht="32.25" customHeight="1" hidden="1">
      <c r="A117" s="84"/>
      <c r="B117" s="104"/>
      <c r="C117" s="57">
        <v>2338</v>
      </c>
      <c r="D117" s="138" t="s">
        <v>164</v>
      </c>
      <c r="E117" s="51">
        <v>12551</v>
      </c>
      <c r="F117" s="51">
        <v>12551.09</v>
      </c>
      <c r="G117" s="70">
        <f t="shared" si="17"/>
        <v>1.000007170743367</v>
      </c>
      <c r="H117" s="71"/>
      <c r="I117" s="51"/>
      <c r="J117" s="72" t="s">
        <v>168</v>
      </c>
      <c r="K117" s="50"/>
      <c r="L117" s="51"/>
      <c r="M117" s="72" t="s">
        <v>168</v>
      </c>
      <c r="N117" s="50">
        <v>12551</v>
      </c>
      <c r="O117" s="51">
        <v>12551.09</v>
      </c>
      <c r="P117" s="69">
        <f>O117/N117</f>
        <v>1.000007170743367</v>
      </c>
    </row>
    <row r="118" spans="1:16" s="24" customFormat="1" ht="60.75" customHeight="1">
      <c r="A118" s="84"/>
      <c r="B118" s="104"/>
      <c r="C118" s="57">
        <v>2338</v>
      </c>
      <c r="D118" s="58" t="s">
        <v>164</v>
      </c>
      <c r="E118" s="51">
        <v>12551</v>
      </c>
      <c r="F118" s="51">
        <v>12551.09</v>
      </c>
      <c r="G118" s="70">
        <f t="shared" si="17"/>
        <v>1.000007170743367</v>
      </c>
      <c r="H118" s="71"/>
      <c r="I118" s="51"/>
      <c r="J118" s="72"/>
      <c r="K118" s="50"/>
      <c r="L118" s="51"/>
      <c r="M118" s="72"/>
      <c r="N118" s="50">
        <v>12551</v>
      </c>
      <c r="O118" s="51">
        <v>12551.09</v>
      </c>
      <c r="P118" s="69">
        <f>O118/N118</f>
        <v>1.000007170743367</v>
      </c>
    </row>
    <row r="119" spans="1:16" s="24" customFormat="1" ht="61.5" customHeight="1" thickBot="1">
      <c r="A119" s="136"/>
      <c r="B119" s="104"/>
      <c r="C119" s="57">
        <v>2339</v>
      </c>
      <c r="D119" s="58" t="s">
        <v>164</v>
      </c>
      <c r="E119" s="51">
        <v>5893</v>
      </c>
      <c r="F119" s="51">
        <v>5892.82</v>
      </c>
      <c r="G119" s="70">
        <f t="shared" si="17"/>
        <v>0.9999694552859324</v>
      </c>
      <c r="H119" s="71"/>
      <c r="I119" s="51"/>
      <c r="J119" s="72" t="s">
        <v>168</v>
      </c>
      <c r="K119" s="50"/>
      <c r="L119" s="51"/>
      <c r="M119" s="72" t="s">
        <v>168</v>
      </c>
      <c r="N119" s="50">
        <v>5893</v>
      </c>
      <c r="O119" s="51">
        <v>5892.82</v>
      </c>
      <c r="P119" s="73">
        <f>O119/N119</f>
        <v>0.9999694552859324</v>
      </c>
    </row>
    <row r="120" spans="1:16" s="24" customFormat="1" ht="29.25" customHeight="1" thickBot="1">
      <c r="A120" s="112">
        <v>900</v>
      </c>
      <c r="B120" s="112"/>
      <c r="C120" s="167"/>
      <c r="D120" s="112" t="s">
        <v>106</v>
      </c>
      <c r="E120" s="173">
        <f>E121+E124+E127</f>
        <v>320051</v>
      </c>
      <c r="F120" s="173">
        <f>F121+F124+F127</f>
        <v>296918.5</v>
      </c>
      <c r="G120" s="169">
        <f>F120/E120</f>
        <v>0.9277224567334581</v>
      </c>
      <c r="H120" s="173">
        <f>H121+H124+H127</f>
        <v>30051</v>
      </c>
      <c r="I120" s="173">
        <f>I121+I124+I127</f>
        <v>31400.18</v>
      </c>
      <c r="J120" s="171">
        <f>I120/H120</f>
        <v>1.0448963428837643</v>
      </c>
      <c r="K120" s="172"/>
      <c r="L120" s="173"/>
      <c r="M120" s="171" t="s">
        <v>168</v>
      </c>
      <c r="N120" s="172">
        <f>N124</f>
        <v>290000</v>
      </c>
      <c r="O120" s="173">
        <f>O124</f>
        <v>265518.32</v>
      </c>
      <c r="P120" s="179">
        <f>O120/N120</f>
        <v>0.9155804137931035</v>
      </c>
    </row>
    <row r="121" spans="1:24" s="24" customFormat="1" ht="30.75" customHeight="1">
      <c r="A121" s="45"/>
      <c r="B121" s="45">
        <v>90003</v>
      </c>
      <c r="C121" s="44"/>
      <c r="D121" s="45" t="s">
        <v>70</v>
      </c>
      <c r="E121" s="67">
        <f>E122</f>
        <v>30051</v>
      </c>
      <c r="F121" s="67">
        <f>F122</f>
        <v>30049</v>
      </c>
      <c r="G121" s="139">
        <f>F121/E121</f>
        <v>0.999933446474327</v>
      </c>
      <c r="H121" s="109">
        <f>H122</f>
        <v>30051</v>
      </c>
      <c r="I121" s="109">
        <f>I122</f>
        <v>30049</v>
      </c>
      <c r="J121" s="72">
        <f>I121/H121</f>
        <v>0.999933446474327</v>
      </c>
      <c r="K121" s="140"/>
      <c r="L121" s="67"/>
      <c r="M121" s="72" t="s">
        <v>168</v>
      </c>
      <c r="N121" s="68"/>
      <c r="O121" s="67"/>
      <c r="P121" s="69"/>
      <c r="T121" s="156"/>
      <c r="U121" s="156"/>
      <c r="V121" s="156"/>
      <c r="W121" s="156"/>
      <c r="X121" s="156"/>
    </row>
    <row r="122" spans="1:16" s="156" customFormat="1" ht="60.75">
      <c r="A122" s="45"/>
      <c r="B122" s="45"/>
      <c r="C122" s="57">
        <v>2440</v>
      </c>
      <c r="D122" s="58" t="s">
        <v>174</v>
      </c>
      <c r="E122" s="67">
        <v>30051</v>
      </c>
      <c r="F122" s="67">
        <v>30049</v>
      </c>
      <c r="G122" s="141">
        <f>F122/E122</f>
        <v>0.999933446474327</v>
      </c>
      <c r="H122" s="109">
        <v>30051</v>
      </c>
      <c r="I122" s="67">
        <v>30049</v>
      </c>
      <c r="J122" s="142">
        <f>I122/H122</f>
        <v>0.999933446474327</v>
      </c>
      <c r="K122" s="143"/>
      <c r="L122" s="67"/>
      <c r="M122" s="93" t="s">
        <v>168</v>
      </c>
      <c r="N122" s="68"/>
      <c r="O122" s="67"/>
      <c r="P122" s="69"/>
    </row>
    <row r="123" spans="1:24" s="156" customFormat="1" ht="1.5" customHeight="1">
      <c r="A123" s="104"/>
      <c r="B123" s="104"/>
      <c r="C123" s="144"/>
      <c r="D123" s="104"/>
      <c r="E123" s="145"/>
      <c r="F123" s="145"/>
      <c r="G123" s="146"/>
      <c r="H123" s="147"/>
      <c r="I123" s="145"/>
      <c r="J123" s="72" t="e">
        <f>I123/H123</f>
        <v>#DIV/0!</v>
      </c>
      <c r="K123" s="148"/>
      <c r="L123" s="145"/>
      <c r="M123" s="72" t="e">
        <f>L123/K123</f>
        <v>#DIV/0!</v>
      </c>
      <c r="N123" s="149"/>
      <c r="O123" s="145"/>
      <c r="P123" s="150"/>
      <c r="U123" s="24"/>
      <c r="V123" s="24"/>
      <c r="W123" s="24"/>
      <c r="X123" s="24"/>
    </row>
    <row r="124" spans="1:16" s="175" customFormat="1" ht="30" customHeight="1">
      <c r="A124" s="104"/>
      <c r="B124" s="78">
        <v>90013</v>
      </c>
      <c r="C124" s="135"/>
      <c r="D124" s="78" t="s">
        <v>72</v>
      </c>
      <c r="E124" s="79">
        <f>E125+E126</f>
        <v>290000</v>
      </c>
      <c r="F124" s="79">
        <f>F125+F126</f>
        <v>265518.32</v>
      </c>
      <c r="G124" s="94">
        <f>F124/E124</f>
        <v>0.9155804137931035</v>
      </c>
      <c r="H124" s="95"/>
      <c r="I124" s="79"/>
      <c r="J124" s="72" t="s">
        <v>168</v>
      </c>
      <c r="K124" s="151"/>
      <c r="L124" s="152"/>
      <c r="M124" s="72" t="s">
        <v>168</v>
      </c>
      <c r="N124" s="80">
        <f>N125+N126</f>
        <v>290000</v>
      </c>
      <c r="O124" s="80">
        <f>O125+O126</f>
        <v>265518.32</v>
      </c>
      <c r="P124" s="125">
        <f>O124/N124</f>
        <v>0.9155804137931035</v>
      </c>
    </row>
    <row r="125" spans="1:16" s="24" customFormat="1" ht="63" customHeight="1">
      <c r="A125" s="104"/>
      <c r="B125" s="45"/>
      <c r="C125" s="57">
        <v>2310</v>
      </c>
      <c r="D125" s="58" t="s">
        <v>175</v>
      </c>
      <c r="E125" s="67">
        <v>160000</v>
      </c>
      <c r="F125" s="67">
        <v>135518.32</v>
      </c>
      <c r="G125" s="94">
        <f>F125/E125</f>
        <v>0.8469895000000001</v>
      </c>
      <c r="H125" s="109"/>
      <c r="I125" s="67"/>
      <c r="J125" s="72" t="s">
        <v>168</v>
      </c>
      <c r="K125" s="153"/>
      <c r="L125" s="154"/>
      <c r="M125" s="72" t="s">
        <v>168</v>
      </c>
      <c r="N125" s="68">
        <v>160000</v>
      </c>
      <c r="O125" s="67">
        <v>135518.32</v>
      </c>
      <c r="P125" s="69">
        <f>O125/N125</f>
        <v>0.8469895000000001</v>
      </c>
    </row>
    <row r="126" spans="1:16" s="24" customFormat="1" ht="64.5" customHeight="1">
      <c r="A126" s="84"/>
      <c r="B126" s="104"/>
      <c r="C126" s="155">
        <v>6610</v>
      </c>
      <c r="D126" s="58" t="s">
        <v>154</v>
      </c>
      <c r="E126" s="51">
        <v>130000</v>
      </c>
      <c r="F126" s="51">
        <v>130000</v>
      </c>
      <c r="G126" s="70">
        <f>F126/E126</f>
        <v>1</v>
      </c>
      <c r="H126" s="71"/>
      <c r="I126" s="51"/>
      <c r="J126" s="142" t="s">
        <v>168</v>
      </c>
      <c r="K126" s="153"/>
      <c r="L126" s="154"/>
      <c r="M126" s="93" t="s">
        <v>168</v>
      </c>
      <c r="N126" s="50">
        <v>130000</v>
      </c>
      <c r="O126" s="51">
        <v>130000</v>
      </c>
      <c r="P126" s="73">
        <f>O126/N126</f>
        <v>1</v>
      </c>
    </row>
    <row r="127" spans="1:16" s="164" customFormat="1" ht="39.75" customHeight="1">
      <c r="A127" s="45"/>
      <c r="B127" s="452">
        <v>90020</v>
      </c>
      <c r="C127" s="77"/>
      <c r="D127" s="117" t="s">
        <v>176</v>
      </c>
      <c r="E127" s="79">
        <f>E128</f>
        <v>0</v>
      </c>
      <c r="F127" s="79">
        <f>F128</f>
        <v>1351.18</v>
      </c>
      <c r="G127" s="94"/>
      <c r="H127" s="95">
        <f>H128</f>
        <v>0</v>
      </c>
      <c r="I127" s="95">
        <f>I128</f>
        <v>1351.18</v>
      </c>
      <c r="J127" s="72" t="s">
        <v>168</v>
      </c>
      <c r="K127" s="157"/>
      <c r="L127" s="79"/>
      <c r="M127" s="72" t="s">
        <v>168</v>
      </c>
      <c r="N127" s="80"/>
      <c r="O127" s="79"/>
      <c r="P127" s="125"/>
    </row>
    <row r="128" spans="1:16" ht="24.75" customHeight="1" thickBot="1">
      <c r="A128" s="128"/>
      <c r="B128" s="45"/>
      <c r="C128" s="43" t="s">
        <v>177</v>
      </c>
      <c r="D128" s="58" t="s">
        <v>178</v>
      </c>
      <c r="E128" s="51">
        <v>0</v>
      </c>
      <c r="F128" s="51">
        <v>1351.18</v>
      </c>
      <c r="G128" s="47"/>
      <c r="H128" s="71">
        <v>0</v>
      </c>
      <c r="I128" s="51">
        <v>1351.18</v>
      </c>
      <c r="J128" s="72" t="s">
        <v>168</v>
      </c>
      <c r="K128" s="158"/>
      <c r="L128" s="67"/>
      <c r="M128" s="72" t="s">
        <v>168</v>
      </c>
      <c r="N128" s="68"/>
      <c r="O128" s="67"/>
      <c r="P128" s="69"/>
    </row>
    <row r="129" spans="1:16" ht="30" customHeight="1" thickBot="1">
      <c r="A129" s="166" t="s">
        <v>179</v>
      </c>
      <c r="B129" s="166"/>
      <c r="C129" s="167"/>
      <c r="D129" s="112" t="s">
        <v>75</v>
      </c>
      <c r="E129" s="168">
        <f>E130</f>
        <v>18100</v>
      </c>
      <c r="F129" s="168">
        <f>F130</f>
        <v>18100</v>
      </c>
      <c r="G129" s="169">
        <f>F129/E129</f>
        <v>1</v>
      </c>
      <c r="H129" s="170">
        <f>H130</f>
        <v>18100</v>
      </c>
      <c r="I129" s="170">
        <f>I130</f>
        <v>18100</v>
      </c>
      <c r="J129" s="171">
        <f>I129/H129</f>
        <v>1</v>
      </c>
      <c r="K129" s="172" t="str">
        <f>K130</f>
        <v> </v>
      </c>
      <c r="L129" s="173" t="str">
        <f>L130</f>
        <v> </v>
      </c>
      <c r="M129" s="171" t="s">
        <v>168</v>
      </c>
      <c r="N129" s="174"/>
      <c r="O129" s="112"/>
      <c r="P129" s="112"/>
    </row>
    <row r="130" spans="1:16" ht="18.75" customHeight="1">
      <c r="A130" s="159"/>
      <c r="B130" s="43" t="s">
        <v>180</v>
      </c>
      <c r="C130" s="44"/>
      <c r="D130" s="45" t="s">
        <v>4</v>
      </c>
      <c r="E130" s="46">
        <f>E131</f>
        <v>18100</v>
      </c>
      <c r="F130" s="46">
        <f>F131</f>
        <v>18100</v>
      </c>
      <c r="G130" s="47">
        <f>F130/E130</f>
        <v>1</v>
      </c>
      <c r="H130" s="109">
        <f>H131</f>
        <v>18100</v>
      </c>
      <c r="I130" s="109">
        <f>I131</f>
        <v>18100</v>
      </c>
      <c r="J130" s="72">
        <f>I130/H130</f>
        <v>1</v>
      </c>
      <c r="K130" s="50" t="str">
        <f>K131</f>
        <v> </v>
      </c>
      <c r="L130" s="51" t="str">
        <f>L131</f>
        <v> </v>
      </c>
      <c r="M130" s="72" t="s">
        <v>168</v>
      </c>
      <c r="N130" s="53"/>
      <c r="O130" s="45"/>
      <c r="P130" s="45"/>
    </row>
    <row r="131" spans="1:16" ht="63" customHeight="1" thickBot="1">
      <c r="A131" s="45"/>
      <c r="B131" s="45"/>
      <c r="C131" s="57">
        <v>6300</v>
      </c>
      <c r="D131" s="58" t="s">
        <v>181</v>
      </c>
      <c r="E131" s="46">
        <v>18100</v>
      </c>
      <c r="F131" s="46">
        <v>18100</v>
      </c>
      <c r="G131" s="47">
        <f>F131/E131</f>
        <v>1</v>
      </c>
      <c r="H131" s="71">
        <v>18100</v>
      </c>
      <c r="I131" s="51">
        <v>18100</v>
      </c>
      <c r="J131" s="72">
        <f>I131/H131</f>
        <v>1</v>
      </c>
      <c r="K131" s="50" t="s">
        <v>168</v>
      </c>
      <c r="L131" s="51" t="s">
        <v>168</v>
      </c>
      <c r="M131" s="72" t="s">
        <v>168</v>
      </c>
      <c r="N131" s="53"/>
      <c r="O131" s="45"/>
      <c r="P131" s="45"/>
    </row>
    <row r="132" spans="1:16" ht="30" customHeight="1" thickBot="1" thickTop="1">
      <c r="A132" s="160"/>
      <c r="B132" s="160"/>
      <c r="C132" s="161"/>
      <c r="D132" s="160" t="s">
        <v>15</v>
      </c>
      <c r="E132" s="165">
        <f>E4+E7+E10+E13+E21+E31+E43+E50+E82+E92+E98+E114+E120+E129</f>
        <v>12938631.27</v>
      </c>
      <c r="F132" s="165">
        <f>F4+F7+F10+F13+F21+F31+F43+F50+F82+F92+F98+F114+F120+F129</f>
        <v>13088923.23</v>
      </c>
      <c r="G132" s="162">
        <f>F132/E132</f>
        <v>1.0116157541600612</v>
      </c>
      <c r="H132" s="165">
        <f>H4+H7+H10+H13+H21+H31+H43+H50+H82+H92+H98+H114+H120+H129</f>
        <v>10425086</v>
      </c>
      <c r="I132" s="165">
        <f>I4+I7+I10+I13+I21+I31+I43+I50+I82+I92+I98+I114+I120+I129</f>
        <v>10620211.51</v>
      </c>
      <c r="J132" s="163">
        <f>I132/H132</f>
        <v>1.018716920896384</v>
      </c>
      <c r="K132" s="165">
        <f>K4+K31+K43+K98</f>
        <v>2180301.27</v>
      </c>
      <c r="L132" s="165">
        <f>L4+L31+L43+L98</f>
        <v>2159949.49</v>
      </c>
      <c r="M132" s="163">
        <f>L132/K132</f>
        <v>0.9906656110877742</v>
      </c>
      <c r="N132" s="165">
        <f>N4+N7+N10+N13+N21+N31+N43+N50+N82+N92+N98+N114+N120+N129</f>
        <v>333244</v>
      </c>
      <c r="O132" s="165">
        <f>O4+O7+O10+O13+O21+O31+O43+O50+O82+O92+O98+O114+O120+O129</f>
        <v>308762.23</v>
      </c>
      <c r="P132" s="163">
        <f>O132/N132</f>
        <v>0.9265350013803699</v>
      </c>
    </row>
    <row r="133" spans="2:16" ht="18.75" customHeight="1" thickTop="1">
      <c r="B133" s="4"/>
      <c r="C133" s="5"/>
      <c r="D133" s="3"/>
      <c r="E133" s="25"/>
      <c r="F133" s="25"/>
      <c r="G133" s="22"/>
      <c r="H133" s="25"/>
      <c r="I133" s="25"/>
      <c r="J133" s="3"/>
      <c r="K133" s="25"/>
      <c r="L133" s="25"/>
      <c r="M133" s="3"/>
      <c r="N133" s="25"/>
      <c r="O133" s="25"/>
      <c r="P133" s="3"/>
    </row>
    <row r="134" spans="5:12" ht="12.75">
      <c r="E134" s="26" t="s">
        <v>168</v>
      </c>
      <c r="F134" s="26" t="s">
        <v>168</v>
      </c>
      <c r="K134" s="13"/>
      <c r="L134" s="13"/>
    </row>
    <row r="135" ht="12.75">
      <c r="F135" s="13"/>
    </row>
    <row r="136" spans="5:12" ht="12.75">
      <c r="E136" s="13"/>
      <c r="F136" s="13"/>
      <c r="K136" s="13"/>
      <c r="L136" s="13"/>
    </row>
    <row r="137" spans="5:6" ht="15.75">
      <c r="E137" s="485" t="s">
        <v>168</v>
      </c>
      <c r="F137" s="485"/>
    </row>
    <row r="138" spans="5:6" ht="15.75">
      <c r="E138" s="28" t="s">
        <v>168</v>
      </c>
      <c r="F138" s="28" t="s">
        <v>168</v>
      </c>
    </row>
    <row r="139" ht="18.75">
      <c r="A139" s="3"/>
    </row>
    <row r="140" ht="18.75">
      <c r="A140" s="3"/>
    </row>
    <row r="141" spans="1:16" ht="18.75">
      <c r="A141" s="3"/>
      <c r="B141" s="4"/>
      <c r="C141" s="5"/>
      <c r="D141" s="3"/>
      <c r="E141" s="3"/>
      <c r="F141" s="3"/>
      <c r="G141" s="22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8.75">
      <c r="A142" s="3"/>
      <c r="B142" s="4"/>
      <c r="C142" s="5"/>
      <c r="D142" s="3"/>
      <c r="E142" s="3"/>
      <c r="F142" s="3"/>
      <c r="G142" s="22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8.75">
      <c r="A143" s="3"/>
      <c r="B143" s="4"/>
      <c r="C143" s="5"/>
      <c r="D143" s="3"/>
      <c r="E143" s="3"/>
      <c r="F143" s="3"/>
      <c r="G143" s="22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8.75">
      <c r="A144" s="3"/>
      <c r="B144" s="4"/>
      <c r="C144" s="5"/>
      <c r="D144" s="3"/>
      <c r="E144" s="3"/>
      <c r="F144" s="3"/>
      <c r="G144" s="22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8.75">
      <c r="A145" s="3"/>
      <c r="B145" s="4"/>
      <c r="C145" s="5"/>
      <c r="D145" s="3"/>
      <c r="E145" s="3"/>
      <c r="F145" s="3"/>
      <c r="G145" s="22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8.75">
      <c r="A146" s="3"/>
      <c r="B146" s="4"/>
      <c r="C146" s="5"/>
      <c r="D146" s="3"/>
      <c r="E146" s="3"/>
      <c r="F146" s="3"/>
      <c r="G146" s="22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8.75">
      <c r="A147" s="3"/>
      <c r="B147" s="4"/>
      <c r="C147" s="5"/>
      <c r="D147" s="3"/>
      <c r="E147" s="3"/>
      <c r="F147" s="3"/>
      <c r="G147" s="22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8.75">
      <c r="A148" s="3"/>
      <c r="B148" s="4"/>
      <c r="C148" s="5"/>
      <c r="D148" s="3"/>
      <c r="E148" s="3"/>
      <c r="F148" s="3"/>
      <c r="G148" s="22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8.75">
      <c r="A149" s="3"/>
      <c r="B149" s="4"/>
      <c r="C149" s="5"/>
      <c r="D149" s="3"/>
      <c r="E149" s="3"/>
      <c r="F149" s="3"/>
      <c r="G149" s="22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8.75">
      <c r="A150" s="3"/>
      <c r="B150" s="4"/>
      <c r="C150" s="5"/>
      <c r="D150" s="3"/>
      <c r="E150" s="3"/>
      <c r="F150" s="3"/>
      <c r="G150" s="22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8.75">
      <c r="A151" s="3"/>
      <c r="B151" s="4"/>
      <c r="C151" s="5"/>
      <c r="D151" s="3"/>
      <c r="E151" s="3"/>
      <c r="F151" s="3"/>
      <c r="G151" s="22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8.75">
      <c r="A152" s="3"/>
      <c r="B152" s="4"/>
      <c r="C152" s="5"/>
      <c r="D152" s="3"/>
      <c r="E152" s="3"/>
      <c r="F152" s="3"/>
      <c r="G152" s="22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8.75">
      <c r="A153" s="3"/>
      <c r="B153" s="4"/>
      <c r="C153" s="5"/>
      <c r="D153" s="3"/>
      <c r="E153" s="3"/>
      <c r="F153" s="3"/>
      <c r="G153" s="22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8.75">
      <c r="A154" s="3"/>
      <c r="B154" s="4"/>
      <c r="C154" s="5"/>
      <c r="D154" s="3"/>
      <c r="E154" s="3"/>
      <c r="F154" s="3"/>
      <c r="G154" s="22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8.75">
      <c r="A155" s="3"/>
      <c r="B155" s="4"/>
      <c r="C155" s="5"/>
      <c r="D155" s="3"/>
      <c r="E155" s="3"/>
      <c r="F155" s="3"/>
      <c r="G155" s="22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8.75">
      <c r="A156" s="3"/>
      <c r="B156" s="4"/>
      <c r="C156" s="5"/>
      <c r="D156" s="3"/>
      <c r="E156" s="3"/>
      <c r="F156" s="3"/>
      <c r="G156" s="22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8.75">
      <c r="A157" s="3"/>
      <c r="B157" s="4"/>
      <c r="C157" s="5"/>
      <c r="D157" s="3"/>
      <c r="E157" s="3"/>
      <c r="F157" s="3"/>
      <c r="G157" s="22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8.75">
      <c r="A158" s="3"/>
      <c r="B158" s="4"/>
      <c r="C158" s="5"/>
      <c r="D158" s="3"/>
      <c r="E158" s="3"/>
      <c r="F158" s="3"/>
      <c r="G158" s="22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8.75">
      <c r="A159" s="3"/>
      <c r="B159" s="4"/>
      <c r="C159" s="5"/>
      <c r="D159" s="3"/>
      <c r="E159" s="3"/>
      <c r="F159" s="3"/>
      <c r="G159" s="22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8.75">
      <c r="A160" s="3"/>
      <c r="B160" s="4"/>
      <c r="C160" s="5"/>
      <c r="D160" s="3"/>
      <c r="E160" s="3"/>
      <c r="F160" s="3"/>
      <c r="G160" s="22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8.75">
      <c r="A161" s="3"/>
      <c r="B161" s="4"/>
      <c r="C161" s="5"/>
      <c r="D161" s="3"/>
      <c r="E161" s="3"/>
      <c r="F161" s="3"/>
      <c r="G161" s="22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8.75">
      <c r="A162" s="3"/>
      <c r="B162" s="4"/>
      <c r="C162" s="5"/>
      <c r="D162" s="3"/>
      <c r="E162" s="3"/>
      <c r="F162" s="3"/>
      <c r="G162" s="22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8.75">
      <c r="A163" s="3"/>
      <c r="B163" s="4"/>
      <c r="C163" s="5"/>
      <c r="D163" s="3"/>
      <c r="E163" s="3"/>
      <c r="F163" s="3"/>
      <c r="G163" s="22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8.75">
      <c r="A164" s="3"/>
      <c r="B164" s="4"/>
      <c r="C164" s="5"/>
      <c r="D164" s="3"/>
      <c r="E164" s="3"/>
      <c r="F164" s="3"/>
      <c r="G164" s="22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8.75">
      <c r="A165" s="3"/>
      <c r="B165" s="4"/>
      <c r="C165" s="5"/>
      <c r="D165" s="3"/>
      <c r="E165" s="3"/>
      <c r="F165" s="3"/>
      <c r="G165" s="22"/>
      <c r="H165" s="3"/>
      <c r="I165" s="3"/>
      <c r="J165" s="3"/>
      <c r="K165" s="3"/>
      <c r="L165" s="3"/>
      <c r="M165" s="3"/>
      <c r="N165" s="3"/>
      <c r="O165" s="3"/>
      <c r="P165" s="3"/>
    </row>
    <row r="166" spans="2:16" ht="18.75">
      <c r="B166" s="4"/>
      <c r="C166" s="5"/>
      <c r="D166" s="3"/>
      <c r="E166" s="3"/>
      <c r="F166" s="3"/>
      <c r="G166" s="22"/>
      <c r="H166" s="3"/>
      <c r="I166" s="3"/>
      <c r="J166" s="3"/>
      <c r="K166" s="3"/>
      <c r="L166" s="3"/>
      <c r="M166" s="3"/>
      <c r="N166" s="3"/>
      <c r="O166" s="3"/>
      <c r="P166" s="3"/>
    </row>
    <row r="167" spans="2:16" ht="18.75">
      <c r="B167" s="4"/>
      <c r="C167" s="5"/>
      <c r="D167" s="3"/>
      <c r="E167" s="3"/>
      <c r="F167" s="3"/>
      <c r="G167" s="22"/>
      <c r="H167" s="3"/>
      <c r="I167" s="3"/>
      <c r="J167" s="3"/>
      <c r="K167" s="3"/>
      <c r="L167" s="3"/>
      <c r="M167" s="3"/>
      <c r="N167" s="3"/>
      <c r="O167" s="3"/>
      <c r="P167" s="3"/>
    </row>
  </sheetData>
  <sheetProtection/>
  <mergeCells count="6">
    <mergeCell ref="E137:F137"/>
    <mergeCell ref="N1:P1"/>
    <mergeCell ref="A1:A2"/>
    <mergeCell ref="B1:B2"/>
    <mergeCell ref="C1:C2"/>
    <mergeCell ref="D1:D2"/>
  </mergeCells>
  <printOptions/>
  <pageMargins left="0.7874015748031497" right="0.5118110236220472" top="0.7874015748031497" bottom="0.7086614173228347" header="0.31496062992125984" footer="0.5118110236220472"/>
  <pageSetup fitToHeight="0" fitToWidth="1" horizontalDpi="600" verticalDpi="600" orientation="landscape" paperSize="9" scale="47" r:id="rId2"/>
  <headerFooter alignWithMargins="0">
    <oddHeader>&amp;C&amp;"Times New Roman,Normalny"&amp;18Plan i wykonanie dochodów budżetu Gminy Golczewo za&amp;"Times New Roman,Pogrubiona"  &amp;"Times New Roman,Normalny"2007 r. wg klasyfikacji budżetowej (w zł)&amp;R&amp;"Times New Roman,Normalny"&amp;14Załącznik nr 1</oddHeader>
    <oddFooter>&amp;C&amp;12Strona &amp;P</oddFooter>
  </headerFooter>
  <rowBreaks count="4" manualBreakCount="4">
    <brk id="28" max="15" man="1"/>
    <brk id="51" max="15" man="1"/>
    <brk id="84" max="15" man="1"/>
    <brk id="108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497"/>
  <sheetViews>
    <sheetView tabSelected="1" view="pageBreakPreview" zoomScale="60" zoomScaleNormal="75" zoomScalePageLayoutView="0" workbookViewId="0" topLeftCell="A421">
      <selection activeCell="H454" sqref="H454"/>
    </sheetView>
  </sheetViews>
  <sheetFormatPr defaultColWidth="9.140625" defaultRowHeight="12.75"/>
  <cols>
    <col min="1" max="1" width="10.57421875" style="24" customWidth="1"/>
    <col min="2" max="2" width="8.28125" style="24" customWidth="1"/>
    <col min="3" max="3" width="7.140625" style="384" customWidth="1"/>
    <col min="4" max="4" width="61.8515625" style="24" customWidth="1"/>
    <col min="5" max="5" width="20.140625" style="24" customWidth="1"/>
    <col min="6" max="6" width="21.00390625" style="24" customWidth="1"/>
    <col min="7" max="7" width="9.7109375" style="24" customWidth="1"/>
    <col min="8" max="8" width="20.140625" style="24" customWidth="1"/>
    <col min="9" max="9" width="19.8515625" style="24" customWidth="1"/>
    <col min="10" max="10" width="9.7109375" style="24" customWidth="1"/>
    <col min="11" max="12" width="21.00390625" style="24" customWidth="1"/>
    <col min="13" max="13" width="9.7109375" style="24" customWidth="1"/>
    <col min="14" max="15" width="16.7109375" style="24" customWidth="1"/>
    <col min="16" max="16" width="9.7109375" style="24" customWidth="1"/>
    <col min="17" max="19" width="9.140625" style="24" customWidth="1"/>
    <col min="20" max="20" width="56.421875" style="24" customWidth="1"/>
    <col min="21" max="21" width="17.7109375" style="24" customWidth="1"/>
    <col min="22" max="22" width="11.57421875" style="24" bestFit="1" customWidth="1"/>
    <col min="23" max="23" width="16.57421875" style="24" customWidth="1"/>
    <col min="24" max="24" width="9.8515625" style="24" customWidth="1"/>
    <col min="25" max="25" width="16.7109375" style="24" customWidth="1"/>
    <col min="26" max="26" width="9.8515625" style="24" customWidth="1"/>
    <col min="27" max="27" width="16.7109375" style="24" customWidth="1"/>
    <col min="28" max="28" width="9.7109375" style="24" customWidth="1"/>
    <col min="29" max="16384" width="9.140625" style="24" customWidth="1"/>
  </cols>
  <sheetData>
    <row r="1" spans="1:176" s="16" customFormat="1" ht="28.5" customHeight="1" thickBot="1" thickTop="1">
      <c r="A1" s="489" t="s">
        <v>0</v>
      </c>
      <c r="B1" s="489" t="s">
        <v>1</v>
      </c>
      <c r="C1" s="507" t="s">
        <v>2</v>
      </c>
      <c r="D1" s="489" t="s">
        <v>3</v>
      </c>
      <c r="E1" s="509" t="s">
        <v>47</v>
      </c>
      <c r="F1" s="487"/>
      <c r="G1" s="510"/>
      <c r="H1" s="511" t="s">
        <v>84</v>
      </c>
      <c r="I1" s="487"/>
      <c r="J1" s="494"/>
      <c r="K1" s="486" t="s">
        <v>85</v>
      </c>
      <c r="L1" s="487"/>
      <c r="M1" s="494"/>
      <c r="N1" s="486" t="s">
        <v>88</v>
      </c>
      <c r="O1" s="487"/>
      <c r="P1" s="488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</row>
    <row r="2" spans="1:176" s="252" customFormat="1" ht="51.75" customHeight="1" thickBot="1">
      <c r="A2" s="506"/>
      <c r="B2" s="506"/>
      <c r="C2" s="508"/>
      <c r="D2" s="506"/>
      <c r="E2" s="242" t="s">
        <v>86</v>
      </c>
      <c r="F2" s="242" t="s">
        <v>87</v>
      </c>
      <c r="G2" s="243" t="s">
        <v>83</v>
      </c>
      <c r="H2" s="244" t="s">
        <v>82</v>
      </c>
      <c r="I2" s="242" t="s">
        <v>79</v>
      </c>
      <c r="J2" s="245" t="s">
        <v>83</v>
      </c>
      <c r="K2" s="246" t="s">
        <v>82</v>
      </c>
      <c r="L2" s="247" t="s">
        <v>79</v>
      </c>
      <c r="M2" s="248" t="s">
        <v>83</v>
      </c>
      <c r="N2" s="249" t="s">
        <v>82</v>
      </c>
      <c r="O2" s="250" t="s">
        <v>89</v>
      </c>
      <c r="P2" s="250" t="s">
        <v>83</v>
      </c>
      <c r="Q2" s="59"/>
      <c r="R2" s="55"/>
      <c r="S2" s="251"/>
      <c r="T2" s="251"/>
      <c r="U2" s="251"/>
      <c r="V2" s="251"/>
      <c r="W2" s="251"/>
      <c r="X2" s="251"/>
      <c r="Y2" s="251"/>
      <c r="Z2" s="251"/>
      <c r="AA2" s="55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</row>
    <row r="3" spans="1:177" s="55" customFormat="1" ht="21.75" customHeight="1" thickBot="1" thickTop="1">
      <c r="A3" s="253">
        <v>1</v>
      </c>
      <c r="B3" s="253">
        <v>2</v>
      </c>
      <c r="C3" s="253">
        <v>3</v>
      </c>
      <c r="D3" s="253">
        <v>4</v>
      </c>
      <c r="E3" s="254">
        <v>5</v>
      </c>
      <c r="F3" s="254">
        <v>6</v>
      </c>
      <c r="G3" s="255">
        <v>7</v>
      </c>
      <c r="H3" s="256">
        <v>8</v>
      </c>
      <c r="I3" s="254">
        <v>9</v>
      </c>
      <c r="J3" s="257">
        <v>10</v>
      </c>
      <c r="K3" s="258">
        <v>11</v>
      </c>
      <c r="L3" s="259">
        <v>12</v>
      </c>
      <c r="M3" s="255">
        <v>13</v>
      </c>
      <c r="N3" s="260">
        <v>14</v>
      </c>
      <c r="O3" s="261">
        <v>15</v>
      </c>
      <c r="P3" s="261">
        <v>16</v>
      </c>
      <c r="Q3" s="59"/>
      <c r="S3" s="498" t="s">
        <v>46</v>
      </c>
      <c r="T3" s="500" t="s">
        <v>3</v>
      </c>
      <c r="U3" s="502" t="s">
        <v>90</v>
      </c>
      <c r="V3" s="503"/>
      <c r="W3" s="504" t="s">
        <v>93</v>
      </c>
      <c r="X3" s="505"/>
      <c r="Y3" s="495" t="s">
        <v>91</v>
      </c>
      <c r="Z3" s="496"/>
      <c r="AA3" s="497" t="s">
        <v>92</v>
      </c>
      <c r="AB3" s="489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</row>
    <row r="4" spans="1:28" s="195" customFormat="1" ht="30.75" customHeight="1" thickBot="1" thickTop="1">
      <c r="A4" s="385" t="str">
        <f>"010"</f>
        <v>010</v>
      </c>
      <c r="B4" s="386"/>
      <c r="C4" s="386"/>
      <c r="D4" s="386" t="s">
        <v>20</v>
      </c>
      <c r="E4" s="387">
        <f>E5+E7</f>
        <v>167726.27</v>
      </c>
      <c r="F4" s="388">
        <f>F5+F7</f>
        <v>166506.83</v>
      </c>
      <c r="G4" s="389">
        <f>F4/E4</f>
        <v>0.9927295825513797</v>
      </c>
      <c r="H4" s="388">
        <f>H5</f>
        <v>8500</v>
      </c>
      <c r="I4" s="387">
        <f>I5</f>
        <v>7280.56</v>
      </c>
      <c r="J4" s="191">
        <f>I4/H4</f>
        <v>0.8565364705882353</v>
      </c>
      <c r="K4" s="390">
        <f>K7</f>
        <v>159226.27</v>
      </c>
      <c r="L4" s="225">
        <f>L7</f>
        <v>159226.27</v>
      </c>
      <c r="M4" s="391">
        <f>L4/K4</f>
        <v>1</v>
      </c>
      <c r="N4" s="390"/>
      <c r="O4" s="225"/>
      <c r="P4" s="392"/>
      <c r="S4" s="499"/>
      <c r="T4" s="501"/>
      <c r="U4" s="393" t="s">
        <v>77</v>
      </c>
      <c r="V4" s="394" t="s">
        <v>83</v>
      </c>
      <c r="W4" s="395" t="s">
        <v>77</v>
      </c>
      <c r="X4" s="396" t="s">
        <v>83</v>
      </c>
      <c r="Y4" s="397" t="s">
        <v>77</v>
      </c>
      <c r="Z4" s="254" t="s">
        <v>83</v>
      </c>
      <c r="AA4" s="254" t="s">
        <v>77</v>
      </c>
      <c r="AB4" s="254" t="s">
        <v>83</v>
      </c>
    </row>
    <row r="5" spans="1:28" ht="21" thickTop="1">
      <c r="A5" s="262"/>
      <c r="B5" s="45" t="str">
        <f>"01030"</f>
        <v>01030</v>
      </c>
      <c r="C5" s="114"/>
      <c r="D5" s="45" t="s">
        <v>42</v>
      </c>
      <c r="E5" s="67">
        <f>E6</f>
        <v>8500</v>
      </c>
      <c r="F5" s="109">
        <f>F6</f>
        <v>7280.56</v>
      </c>
      <c r="G5" s="263">
        <f>F5/E5</f>
        <v>0.8565364705882353</v>
      </c>
      <c r="H5" s="109">
        <f>H6</f>
        <v>8500</v>
      </c>
      <c r="I5" s="67">
        <f>I6</f>
        <v>7280.56</v>
      </c>
      <c r="J5" s="264">
        <f>I5/H5</f>
        <v>0.8565364705882353</v>
      </c>
      <c r="K5" s="265"/>
      <c r="L5" s="67"/>
      <c r="M5" s="266"/>
      <c r="N5" s="265"/>
      <c r="O5" s="67"/>
      <c r="P5" s="69"/>
      <c r="S5" s="267" t="str">
        <f>A4</f>
        <v>010</v>
      </c>
      <c r="T5" s="268" t="str">
        <f>D4</f>
        <v>Rolnictwo i łowiectwo</v>
      </c>
      <c r="U5" s="269">
        <f>F4</f>
        <v>166506.83</v>
      </c>
      <c r="V5" s="270">
        <f>U5/E4</f>
        <v>0.9927295825513797</v>
      </c>
      <c r="W5" s="271">
        <f>I4</f>
        <v>7280.56</v>
      </c>
      <c r="X5" s="272">
        <f>W5/H4</f>
        <v>0.8565364705882353</v>
      </c>
      <c r="Y5" s="273">
        <f>L4</f>
        <v>159226.27</v>
      </c>
      <c r="Z5" s="274" t="e">
        <f>Y5/#REF!</f>
        <v>#REF!</v>
      </c>
      <c r="AA5" s="273">
        <f>O4</f>
        <v>0</v>
      </c>
      <c r="AB5" s="275" t="e">
        <f>AA5/#REF!</f>
        <v>#REF!</v>
      </c>
    </row>
    <row r="6" spans="1:28" ht="40.5">
      <c r="A6" s="262"/>
      <c r="B6" s="45"/>
      <c r="C6" s="114">
        <v>2850</v>
      </c>
      <c r="D6" s="58" t="s">
        <v>127</v>
      </c>
      <c r="E6" s="51">
        <v>8500</v>
      </c>
      <c r="F6" s="71">
        <v>7280.56</v>
      </c>
      <c r="G6" s="276">
        <f>F6/E6</f>
        <v>0.8565364705882353</v>
      </c>
      <c r="H6" s="71">
        <v>8500</v>
      </c>
      <c r="I6" s="51">
        <v>7280.56</v>
      </c>
      <c r="J6" s="105">
        <f>I6/H6</f>
        <v>0.8565364705882353</v>
      </c>
      <c r="K6" s="277"/>
      <c r="L6" s="51"/>
      <c r="M6" s="278"/>
      <c r="N6" s="277"/>
      <c r="O6" s="51"/>
      <c r="P6" s="73"/>
      <c r="S6" s="279">
        <f>A16</f>
        <v>600</v>
      </c>
      <c r="T6" s="280" t="str">
        <f>D16</f>
        <v>Transport i łączność</v>
      </c>
      <c r="U6" s="281">
        <f>F16</f>
        <v>304498.15</v>
      </c>
      <c r="V6" s="282">
        <f>U6/E16</f>
        <v>0.9511405947398014</v>
      </c>
      <c r="W6" s="283">
        <f>I16</f>
        <v>295498.15</v>
      </c>
      <c r="X6" s="284">
        <f>W6/H16</f>
        <v>0.9497272931799191</v>
      </c>
      <c r="Y6" s="283">
        <f>L16</f>
        <v>0</v>
      </c>
      <c r="Z6" s="284" t="e">
        <f>Y6/#REF!</f>
        <v>#REF!</v>
      </c>
      <c r="AA6" s="283">
        <f>O16</f>
        <v>9000</v>
      </c>
      <c r="AB6" s="285">
        <f>$AA6/N16</f>
        <v>1</v>
      </c>
    </row>
    <row r="7" spans="1:28" ht="20.25">
      <c r="A7" s="262"/>
      <c r="B7" s="286" t="s">
        <v>156</v>
      </c>
      <c r="C7" s="116"/>
      <c r="D7" s="117" t="s">
        <v>4</v>
      </c>
      <c r="E7" s="79">
        <f>SUM(E8:E15)</f>
        <v>159226.27</v>
      </c>
      <c r="F7" s="95">
        <f>SUM(F8:F15)</f>
        <v>159226.27</v>
      </c>
      <c r="G7" s="287">
        <f>F7/E7</f>
        <v>1</v>
      </c>
      <c r="H7" s="95"/>
      <c r="I7" s="79"/>
      <c r="J7" s="288"/>
      <c r="K7" s="289">
        <f>SUM(K8:K15)</f>
        <v>159226.27</v>
      </c>
      <c r="L7" s="79">
        <f>SUM(L8:L15)</f>
        <v>159226.27</v>
      </c>
      <c r="M7" s="290">
        <f>L7/K7</f>
        <v>1</v>
      </c>
      <c r="N7" s="100"/>
      <c r="O7" s="98"/>
      <c r="P7" s="101"/>
      <c r="S7" s="279"/>
      <c r="T7" s="280"/>
      <c r="U7" s="281"/>
      <c r="V7" s="282"/>
      <c r="W7" s="283"/>
      <c r="X7" s="284"/>
      <c r="Y7" s="283"/>
      <c r="Z7" s="284"/>
      <c r="AA7" s="283"/>
      <c r="AB7" s="285"/>
    </row>
    <row r="8" spans="1:28" ht="20.25">
      <c r="A8" s="262"/>
      <c r="B8" s="45"/>
      <c r="C8" s="114">
        <v>4110</v>
      </c>
      <c r="D8" s="87" t="s">
        <v>50</v>
      </c>
      <c r="E8" s="51">
        <v>335.21</v>
      </c>
      <c r="F8" s="51">
        <v>335.21</v>
      </c>
      <c r="G8" s="276">
        <f>F8/E8</f>
        <v>1</v>
      </c>
      <c r="H8" s="71"/>
      <c r="I8" s="51"/>
      <c r="J8" s="105"/>
      <c r="K8" s="51">
        <v>335.21</v>
      </c>
      <c r="L8" s="51">
        <v>335.21</v>
      </c>
      <c r="M8" s="278">
        <f>L8/K8</f>
        <v>1</v>
      </c>
      <c r="N8" s="50"/>
      <c r="O8" s="51"/>
      <c r="P8" s="73"/>
      <c r="S8" s="279"/>
      <c r="T8" s="280"/>
      <c r="U8" s="281"/>
      <c r="V8" s="282"/>
      <c r="W8" s="283"/>
      <c r="X8" s="284"/>
      <c r="Y8" s="283"/>
      <c r="Z8" s="284"/>
      <c r="AA8" s="283"/>
      <c r="AB8" s="285"/>
    </row>
    <row r="9" spans="1:28" ht="20.25">
      <c r="A9" s="262"/>
      <c r="B9" s="45"/>
      <c r="C9" s="114">
        <v>4120</v>
      </c>
      <c r="D9" s="87" t="s">
        <v>51</v>
      </c>
      <c r="E9" s="51">
        <v>47.78</v>
      </c>
      <c r="F9" s="51">
        <v>47.78</v>
      </c>
      <c r="G9" s="276">
        <f aca="true" t="shared" si="0" ref="G9:G15">F9/E9</f>
        <v>1</v>
      </c>
      <c r="H9" s="71"/>
      <c r="I9" s="51"/>
      <c r="J9" s="105"/>
      <c r="K9" s="51">
        <v>47.78</v>
      </c>
      <c r="L9" s="51">
        <v>47.78</v>
      </c>
      <c r="M9" s="278">
        <f aca="true" t="shared" si="1" ref="M9:M15">L9/K9</f>
        <v>1</v>
      </c>
      <c r="N9" s="50"/>
      <c r="O9" s="51"/>
      <c r="P9" s="73"/>
      <c r="S9" s="279"/>
      <c r="T9" s="280"/>
      <c r="U9" s="281"/>
      <c r="V9" s="282"/>
      <c r="W9" s="283"/>
      <c r="X9" s="284"/>
      <c r="Y9" s="283"/>
      <c r="Z9" s="284"/>
      <c r="AA9" s="283"/>
      <c r="AB9" s="285"/>
    </row>
    <row r="10" spans="1:28" ht="20.25">
      <c r="A10" s="262"/>
      <c r="B10" s="45"/>
      <c r="C10" s="114">
        <v>4170</v>
      </c>
      <c r="D10" s="87" t="s">
        <v>98</v>
      </c>
      <c r="E10" s="51">
        <v>1950</v>
      </c>
      <c r="F10" s="51">
        <v>1950</v>
      </c>
      <c r="G10" s="276">
        <f t="shared" si="0"/>
        <v>1</v>
      </c>
      <c r="H10" s="71"/>
      <c r="I10" s="51"/>
      <c r="J10" s="105"/>
      <c r="K10" s="51">
        <v>1950</v>
      </c>
      <c r="L10" s="51">
        <v>1950</v>
      </c>
      <c r="M10" s="278">
        <f t="shared" si="1"/>
        <v>1</v>
      </c>
      <c r="N10" s="50"/>
      <c r="O10" s="51"/>
      <c r="P10" s="73"/>
      <c r="S10" s="279"/>
      <c r="T10" s="280"/>
      <c r="U10" s="281"/>
      <c r="V10" s="282"/>
      <c r="W10" s="283"/>
      <c r="X10" s="284"/>
      <c r="Y10" s="283"/>
      <c r="Z10" s="284"/>
      <c r="AA10" s="283"/>
      <c r="AB10" s="285"/>
    </row>
    <row r="11" spans="1:28" ht="20.25">
      <c r="A11" s="262"/>
      <c r="B11" s="45"/>
      <c r="C11" s="114">
        <v>4210</v>
      </c>
      <c r="D11" s="87" t="s">
        <v>43</v>
      </c>
      <c r="E11" s="51">
        <v>90.11</v>
      </c>
      <c r="F11" s="51">
        <v>90.11</v>
      </c>
      <c r="G11" s="276">
        <f t="shared" si="0"/>
        <v>1</v>
      </c>
      <c r="H11" s="71"/>
      <c r="I11" s="51"/>
      <c r="J11" s="105"/>
      <c r="K11" s="51">
        <v>90.11</v>
      </c>
      <c r="L11" s="51">
        <v>90.11</v>
      </c>
      <c r="M11" s="278">
        <f t="shared" si="1"/>
        <v>1</v>
      </c>
      <c r="N11" s="50"/>
      <c r="O11" s="51"/>
      <c r="P11" s="73"/>
      <c r="S11" s="279"/>
      <c r="T11" s="280"/>
      <c r="U11" s="281"/>
      <c r="V11" s="282"/>
      <c r="W11" s="283"/>
      <c r="X11" s="284"/>
      <c r="Y11" s="283"/>
      <c r="Z11" s="284"/>
      <c r="AA11" s="283"/>
      <c r="AB11" s="285"/>
    </row>
    <row r="12" spans="1:28" ht="20.25">
      <c r="A12" s="262"/>
      <c r="B12" s="45"/>
      <c r="C12" s="114">
        <v>4300</v>
      </c>
      <c r="D12" s="87" t="s">
        <v>45</v>
      </c>
      <c r="E12" s="51">
        <v>278.98</v>
      </c>
      <c r="F12" s="51">
        <v>278.98</v>
      </c>
      <c r="G12" s="276">
        <f t="shared" si="0"/>
        <v>1</v>
      </c>
      <c r="H12" s="71"/>
      <c r="I12" s="51"/>
      <c r="J12" s="105"/>
      <c r="K12" s="51">
        <v>278.98</v>
      </c>
      <c r="L12" s="51">
        <v>278.98</v>
      </c>
      <c r="M12" s="278">
        <f t="shared" si="1"/>
        <v>1</v>
      </c>
      <c r="N12" s="50"/>
      <c r="O12" s="51"/>
      <c r="P12" s="73"/>
      <c r="S12" s="279"/>
      <c r="T12" s="280"/>
      <c r="U12" s="281"/>
      <c r="V12" s="282"/>
      <c r="W12" s="283"/>
      <c r="X12" s="284"/>
      <c r="Y12" s="283"/>
      <c r="Z12" s="284"/>
      <c r="AA12" s="283"/>
      <c r="AB12" s="285"/>
    </row>
    <row r="13" spans="1:28" ht="20.25">
      <c r="A13" s="262"/>
      <c r="B13" s="45"/>
      <c r="C13" s="114">
        <v>4430</v>
      </c>
      <c r="D13" s="87" t="s">
        <v>54</v>
      </c>
      <c r="E13" s="51">
        <v>156104.19</v>
      </c>
      <c r="F13" s="51">
        <v>156104.19</v>
      </c>
      <c r="G13" s="276">
        <f t="shared" si="0"/>
        <v>1</v>
      </c>
      <c r="H13" s="71"/>
      <c r="I13" s="51"/>
      <c r="J13" s="105"/>
      <c r="K13" s="51">
        <v>156104.19</v>
      </c>
      <c r="L13" s="51">
        <v>156104.19</v>
      </c>
      <c r="M13" s="278">
        <f t="shared" si="1"/>
        <v>1</v>
      </c>
      <c r="N13" s="50"/>
      <c r="O13" s="51"/>
      <c r="P13" s="73"/>
      <c r="S13" s="279"/>
      <c r="T13" s="280"/>
      <c r="U13" s="281"/>
      <c r="V13" s="282"/>
      <c r="W13" s="283"/>
      <c r="X13" s="284"/>
      <c r="Y13" s="283"/>
      <c r="Z13" s="284"/>
      <c r="AA13" s="283"/>
      <c r="AB13" s="285"/>
    </row>
    <row r="14" spans="1:28" ht="40.5">
      <c r="A14" s="262"/>
      <c r="B14" s="45"/>
      <c r="C14" s="114">
        <v>4740</v>
      </c>
      <c r="D14" s="58" t="s">
        <v>182</v>
      </c>
      <c r="E14" s="51">
        <v>200</v>
      </c>
      <c r="F14" s="51">
        <v>200</v>
      </c>
      <c r="G14" s="276">
        <f t="shared" si="0"/>
        <v>1</v>
      </c>
      <c r="H14" s="71"/>
      <c r="I14" s="51"/>
      <c r="J14" s="105"/>
      <c r="K14" s="51">
        <v>200</v>
      </c>
      <c r="L14" s="51">
        <v>200</v>
      </c>
      <c r="M14" s="278">
        <f t="shared" si="1"/>
        <v>1</v>
      </c>
      <c r="N14" s="50"/>
      <c r="O14" s="51"/>
      <c r="P14" s="73"/>
      <c r="S14" s="279"/>
      <c r="T14" s="280"/>
      <c r="U14" s="281"/>
      <c r="V14" s="282"/>
      <c r="W14" s="283"/>
      <c r="X14" s="284"/>
      <c r="Y14" s="283"/>
      <c r="Z14" s="284"/>
      <c r="AA14" s="283"/>
      <c r="AB14" s="285"/>
    </row>
    <row r="15" spans="1:28" ht="41.25" thickBot="1">
      <c r="A15" s="262"/>
      <c r="B15" s="45"/>
      <c r="C15" s="114">
        <v>4750</v>
      </c>
      <c r="D15" s="58" t="s">
        <v>183</v>
      </c>
      <c r="E15" s="51">
        <v>220</v>
      </c>
      <c r="F15" s="51">
        <v>220</v>
      </c>
      <c r="G15" s="276">
        <f t="shared" si="0"/>
        <v>1</v>
      </c>
      <c r="H15" s="71"/>
      <c r="I15" s="51"/>
      <c r="J15" s="105"/>
      <c r="K15" s="51">
        <v>220</v>
      </c>
      <c r="L15" s="51">
        <v>220</v>
      </c>
      <c r="M15" s="278">
        <f t="shared" si="1"/>
        <v>1</v>
      </c>
      <c r="N15" s="50"/>
      <c r="O15" s="51"/>
      <c r="P15" s="73"/>
      <c r="S15" s="279"/>
      <c r="T15" s="280"/>
      <c r="U15" s="281"/>
      <c r="V15" s="282"/>
      <c r="W15" s="283"/>
      <c r="X15" s="284"/>
      <c r="Y15" s="283"/>
      <c r="Z15" s="284"/>
      <c r="AA15" s="283"/>
      <c r="AB15" s="285"/>
    </row>
    <row r="16" spans="1:28" s="195" customFormat="1" ht="30" customHeight="1" thickBot="1">
      <c r="A16" s="398">
        <v>600</v>
      </c>
      <c r="B16" s="113"/>
      <c r="C16" s="113"/>
      <c r="D16" s="113" t="s">
        <v>22</v>
      </c>
      <c r="E16" s="168">
        <f>E17+E20</f>
        <v>320140</v>
      </c>
      <c r="F16" s="168">
        <f>F17+F20</f>
        <v>304498.15</v>
      </c>
      <c r="G16" s="399">
        <f>F16/E16</f>
        <v>0.9511405947398014</v>
      </c>
      <c r="H16" s="190">
        <f>H17+H20</f>
        <v>311140</v>
      </c>
      <c r="I16" s="168">
        <f>I17+I20</f>
        <v>295498.15</v>
      </c>
      <c r="J16" s="191">
        <f>I16/H16</f>
        <v>0.9497272931799191</v>
      </c>
      <c r="K16" s="400"/>
      <c r="L16" s="168"/>
      <c r="M16" s="401"/>
      <c r="N16" s="190">
        <f>N17+N20</f>
        <v>9000</v>
      </c>
      <c r="O16" s="168">
        <f>O17+O20</f>
        <v>9000</v>
      </c>
      <c r="P16" s="194">
        <f>O16/N16</f>
        <v>1</v>
      </c>
      <c r="S16" s="402">
        <f>A38</f>
        <v>700</v>
      </c>
      <c r="T16" s="403" t="str">
        <f>D38</f>
        <v>Gospodarka mieszkaniowa</v>
      </c>
      <c r="U16" s="404">
        <f>F38</f>
        <v>49635.270000000004</v>
      </c>
      <c r="V16" s="405">
        <f>U16/E38</f>
        <v>0.9365145283018869</v>
      </c>
      <c r="W16" s="406">
        <f>I38</f>
        <v>49635.270000000004</v>
      </c>
      <c r="X16" s="407">
        <f>W16/H38</f>
        <v>0.9365145283018869</v>
      </c>
      <c r="Y16" s="406">
        <f>L38</f>
        <v>0</v>
      </c>
      <c r="Z16" s="407" t="e">
        <f>Y16/#REF!</f>
        <v>#REF!</v>
      </c>
      <c r="AA16" s="406">
        <f>O38</f>
        <v>0</v>
      </c>
      <c r="AB16" s="408" t="e">
        <f>AA16/#REF!</f>
        <v>#REF!</v>
      </c>
    </row>
    <row r="17" spans="1:28" ht="20.25">
      <c r="A17" s="66"/>
      <c r="B17" s="45">
        <v>60014</v>
      </c>
      <c r="C17" s="114"/>
      <c r="D17" s="45" t="s">
        <v>18</v>
      </c>
      <c r="E17" s="67">
        <f>SUM(E18:E19)</f>
        <v>9000</v>
      </c>
      <c r="F17" s="67">
        <f>SUM(F18:F19)</f>
        <v>9000</v>
      </c>
      <c r="G17" s="263">
        <f>F17/E17</f>
        <v>1</v>
      </c>
      <c r="H17" s="67"/>
      <c r="I17" s="67"/>
      <c r="J17" s="291"/>
      <c r="K17" s="292"/>
      <c r="L17" s="293"/>
      <c r="M17" s="294"/>
      <c r="N17" s="109">
        <f>SUM(N18:N19)</f>
        <v>9000</v>
      </c>
      <c r="O17" s="67">
        <f>SUM(O18:O19)</f>
        <v>9000</v>
      </c>
      <c r="P17" s="82">
        <f>O17/N17</f>
        <v>1</v>
      </c>
      <c r="S17" s="279">
        <f>A50</f>
        <v>710</v>
      </c>
      <c r="T17" s="280" t="str">
        <f>D50</f>
        <v>Działalność usługowa</v>
      </c>
      <c r="U17" s="281">
        <f>F50</f>
        <v>168830.05</v>
      </c>
      <c r="V17" s="282">
        <f>U17/E50</f>
        <v>0.9873102339181286</v>
      </c>
      <c r="W17" s="283">
        <f>I50</f>
        <v>153030.05</v>
      </c>
      <c r="X17" s="284">
        <f>W17/H50</f>
        <v>0.9860183634020617</v>
      </c>
      <c r="Y17" s="283">
        <f>L50</f>
        <v>0</v>
      </c>
      <c r="Z17" s="284" t="e">
        <f>Y17/#REF!</f>
        <v>#REF!</v>
      </c>
      <c r="AA17" s="283">
        <f>O50</f>
        <v>15800.000000000002</v>
      </c>
      <c r="AB17" s="285">
        <f>AA17/N50</f>
        <v>1</v>
      </c>
    </row>
    <row r="18" spans="1:28" ht="20.25" customHeight="1">
      <c r="A18" s="66"/>
      <c r="B18" s="45"/>
      <c r="C18" s="114">
        <v>4270</v>
      </c>
      <c r="D18" s="87" t="s">
        <v>44</v>
      </c>
      <c r="E18" s="71">
        <v>6320</v>
      </c>
      <c r="F18" s="71">
        <v>6320</v>
      </c>
      <c r="G18" s="276">
        <f>F18/E18</f>
        <v>1</v>
      </c>
      <c r="H18" s="71"/>
      <c r="I18" s="71"/>
      <c r="J18" s="105"/>
      <c r="K18" s="292"/>
      <c r="L18" s="293"/>
      <c r="M18" s="295"/>
      <c r="N18" s="71">
        <v>6320</v>
      </c>
      <c r="O18" s="71">
        <v>6320</v>
      </c>
      <c r="P18" s="73">
        <f>O18/N18</f>
        <v>1</v>
      </c>
      <c r="S18" s="296"/>
      <c r="T18" s="297"/>
      <c r="U18" s="298"/>
      <c r="V18" s="299"/>
      <c r="W18" s="300"/>
      <c r="X18" s="301"/>
      <c r="Y18" s="300"/>
      <c r="Z18" s="301"/>
      <c r="AA18" s="300"/>
      <c r="AB18" s="302"/>
    </row>
    <row r="19" spans="1:28" ht="20.25">
      <c r="A19" s="66"/>
      <c r="B19" s="45"/>
      <c r="C19" s="114">
        <v>4300</v>
      </c>
      <c r="D19" s="87" t="s">
        <v>45</v>
      </c>
      <c r="E19" s="71">
        <v>2680</v>
      </c>
      <c r="F19" s="71">
        <v>2680</v>
      </c>
      <c r="G19" s="276">
        <f>F19/E19</f>
        <v>1</v>
      </c>
      <c r="H19" s="71"/>
      <c r="I19" s="71"/>
      <c r="J19" s="105"/>
      <c r="K19" s="292"/>
      <c r="L19" s="293"/>
      <c r="M19" s="303"/>
      <c r="N19" s="71">
        <v>2680</v>
      </c>
      <c r="O19" s="71">
        <v>2680</v>
      </c>
      <c r="P19" s="83">
        <f>O19/N19</f>
        <v>1</v>
      </c>
      <c r="S19" s="296"/>
      <c r="T19" s="304"/>
      <c r="U19" s="298"/>
      <c r="V19" s="299"/>
      <c r="W19" s="300"/>
      <c r="X19" s="301"/>
      <c r="Y19" s="300"/>
      <c r="Z19" s="301"/>
      <c r="AA19" s="300"/>
      <c r="AB19" s="302"/>
    </row>
    <row r="20" spans="1:28" ht="21" customHeight="1">
      <c r="A20" s="66"/>
      <c r="B20" s="78">
        <v>60016</v>
      </c>
      <c r="C20" s="116"/>
      <c r="D20" s="78" t="s">
        <v>33</v>
      </c>
      <c r="E20" s="95">
        <f>SUM(E21:E32)</f>
        <v>311140</v>
      </c>
      <c r="F20" s="95">
        <f>SUM(F21:F32)</f>
        <v>295498.15</v>
      </c>
      <c r="G20" s="287">
        <f aca="true" t="shared" si="2" ref="G20:G35">F20/E20</f>
        <v>0.9497272931799191</v>
      </c>
      <c r="H20" s="95">
        <f>SUM(H21:H32)</f>
        <v>311140</v>
      </c>
      <c r="I20" s="95">
        <f>SUM(I21:I32)</f>
        <v>295498.15</v>
      </c>
      <c r="J20" s="81">
        <f aca="true" t="shared" si="3" ref="J20:J35">I20/H20</f>
        <v>0.9497272931799191</v>
      </c>
      <c r="K20" s="305"/>
      <c r="L20" s="306"/>
      <c r="M20" s="307"/>
      <c r="N20" s="305"/>
      <c r="O20" s="306"/>
      <c r="P20" s="308"/>
      <c r="S20" s="296">
        <f>A171</f>
        <v>756</v>
      </c>
      <c r="T20" s="297" t="str">
        <f>D171</f>
        <v>Dochody od osób prawnych, od osób fizycznych i od innych jednostek nieposiadających osobowości prawnej oraz wydatki związane z ich poborem</v>
      </c>
      <c r="U20" s="298">
        <f>F171</f>
        <v>29121.3</v>
      </c>
      <c r="V20" s="299">
        <f>U20/E171</f>
        <v>0.97071</v>
      </c>
      <c r="W20" s="300">
        <f>I171</f>
        <v>29121.3</v>
      </c>
      <c r="X20" s="301">
        <f>W20/H171</f>
        <v>0.97071</v>
      </c>
      <c r="Y20" s="300">
        <f>L171</f>
        <v>0</v>
      </c>
      <c r="Z20" s="301" t="e">
        <f>Y20/#REF!</f>
        <v>#REF!</v>
      </c>
      <c r="AA20" s="300">
        <f>O171</f>
        <v>0</v>
      </c>
      <c r="AB20" s="302" t="e">
        <f>AA20/#REF!</f>
        <v>#REF!</v>
      </c>
    </row>
    <row r="21" spans="1:28" ht="40.5" customHeight="1">
      <c r="A21" s="66"/>
      <c r="B21" s="45"/>
      <c r="C21" s="114">
        <v>3020</v>
      </c>
      <c r="D21" s="58" t="s">
        <v>128</v>
      </c>
      <c r="E21" s="71">
        <v>8760</v>
      </c>
      <c r="F21" s="71">
        <v>8753.53</v>
      </c>
      <c r="G21" s="276">
        <f aca="true" t="shared" si="4" ref="G21:G26">F21/E21</f>
        <v>0.9992614155251143</v>
      </c>
      <c r="H21" s="71">
        <v>8760</v>
      </c>
      <c r="I21" s="71">
        <v>8753.53</v>
      </c>
      <c r="J21" s="105">
        <f aca="true" t="shared" si="5" ref="J21:J26">I21/H21</f>
        <v>0.9992614155251143</v>
      </c>
      <c r="K21" s="292"/>
      <c r="L21" s="293"/>
      <c r="M21" s="309"/>
      <c r="N21" s="292"/>
      <c r="O21" s="293"/>
      <c r="P21" s="310"/>
      <c r="S21" s="66"/>
      <c r="T21" s="311"/>
      <c r="U21" s="312"/>
      <c r="V21" s="313"/>
      <c r="W21" s="63"/>
      <c r="X21" s="314"/>
      <c r="Y21" s="63"/>
      <c r="Z21" s="314"/>
      <c r="AA21" s="63"/>
      <c r="AB21" s="315"/>
    </row>
    <row r="22" spans="1:28" ht="20.25">
      <c r="A22" s="66"/>
      <c r="B22" s="45"/>
      <c r="C22" s="114">
        <v>4010</v>
      </c>
      <c r="D22" s="87" t="s">
        <v>48</v>
      </c>
      <c r="E22" s="71">
        <v>96400</v>
      </c>
      <c r="F22" s="71">
        <v>95116.46</v>
      </c>
      <c r="G22" s="276">
        <f t="shared" si="4"/>
        <v>0.9866852697095436</v>
      </c>
      <c r="H22" s="71">
        <v>96400</v>
      </c>
      <c r="I22" s="71">
        <v>95116.46</v>
      </c>
      <c r="J22" s="105">
        <f t="shared" si="5"/>
        <v>0.9866852697095436</v>
      </c>
      <c r="K22" s="292"/>
      <c r="L22" s="293"/>
      <c r="M22" s="309"/>
      <c r="N22" s="292"/>
      <c r="O22" s="293"/>
      <c r="P22" s="310"/>
      <c r="S22" s="66"/>
      <c r="T22" s="311"/>
      <c r="U22" s="312"/>
      <c r="V22" s="313"/>
      <c r="W22" s="63"/>
      <c r="X22" s="314"/>
      <c r="Y22" s="63"/>
      <c r="Z22" s="314"/>
      <c r="AA22" s="63"/>
      <c r="AB22" s="315"/>
    </row>
    <row r="23" spans="1:28" ht="20.25">
      <c r="A23" s="66"/>
      <c r="B23" s="45"/>
      <c r="C23" s="114">
        <v>4040</v>
      </c>
      <c r="D23" s="87" t="s">
        <v>49</v>
      </c>
      <c r="E23" s="71">
        <v>16500</v>
      </c>
      <c r="F23" s="71">
        <v>16428.56</v>
      </c>
      <c r="G23" s="276">
        <f t="shared" si="4"/>
        <v>0.9956703030303031</v>
      </c>
      <c r="H23" s="71">
        <v>16500</v>
      </c>
      <c r="I23" s="71">
        <v>16428.56</v>
      </c>
      <c r="J23" s="105">
        <f t="shared" si="5"/>
        <v>0.9956703030303031</v>
      </c>
      <c r="K23" s="292"/>
      <c r="L23" s="293"/>
      <c r="M23" s="309"/>
      <c r="N23" s="292"/>
      <c r="O23" s="293"/>
      <c r="P23" s="310"/>
      <c r="S23" s="66"/>
      <c r="T23" s="311"/>
      <c r="U23" s="312"/>
      <c r="V23" s="313"/>
      <c r="W23" s="63"/>
      <c r="X23" s="314"/>
      <c r="Y23" s="63"/>
      <c r="Z23" s="314"/>
      <c r="AA23" s="63"/>
      <c r="AB23" s="315"/>
    </row>
    <row r="24" spans="1:28" ht="20.25">
      <c r="A24" s="66"/>
      <c r="B24" s="45"/>
      <c r="C24" s="114">
        <v>4110</v>
      </c>
      <c r="D24" s="87" t="s">
        <v>50</v>
      </c>
      <c r="E24" s="71">
        <v>21300</v>
      </c>
      <c r="F24" s="71">
        <v>19753.85</v>
      </c>
      <c r="G24" s="276">
        <f t="shared" si="4"/>
        <v>0.9274107981220656</v>
      </c>
      <c r="H24" s="71">
        <v>21300</v>
      </c>
      <c r="I24" s="71">
        <v>19753.85</v>
      </c>
      <c r="J24" s="105">
        <f t="shared" si="5"/>
        <v>0.9274107981220656</v>
      </c>
      <c r="K24" s="292"/>
      <c r="L24" s="293"/>
      <c r="M24" s="309"/>
      <c r="N24" s="292"/>
      <c r="O24" s="293"/>
      <c r="P24" s="310"/>
      <c r="S24" s="66"/>
      <c r="T24" s="311"/>
      <c r="U24" s="312"/>
      <c r="V24" s="313"/>
      <c r="W24" s="63"/>
      <c r="X24" s="314"/>
      <c r="Y24" s="63"/>
      <c r="Z24" s="314"/>
      <c r="AA24" s="63"/>
      <c r="AB24" s="315"/>
    </row>
    <row r="25" spans="1:28" ht="20.25">
      <c r="A25" s="66"/>
      <c r="B25" s="45"/>
      <c r="C25" s="114">
        <v>4120</v>
      </c>
      <c r="D25" s="87" t="s">
        <v>51</v>
      </c>
      <c r="E25" s="71">
        <v>9730</v>
      </c>
      <c r="F25" s="71">
        <v>9531.26</v>
      </c>
      <c r="G25" s="276">
        <f t="shared" si="4"/>
        <v>0.9795745118191161</v>
      </c>
      <c r="H25" s="71">
        <v>9730</v>
      </c>
      <c r="I25" s="71">
        <v>9531.26</v>
      </c>
      <c r="J25" s="105">
        <f t="shared" si="5"/>
        <v>0.9795745118191161</v>
      </c>
      <c r="K25" s="292"/>
      <c r="L25" s="293"/>
      <c r="M25" s="309"/>
      <c r="N25" s="292"/>
      <c r="O25" s="293"/>
      <c r="P25" s="310"/>
      <c r="S25" s="66"/>
      <c r="T25" s="311"/>
      <c r="U25" s="312"/>
      <c r="V25" s="313"/>
      <c r="W25" s="63"/>
      <c r="X25" s="314"/>
      <c r="Y25" s="63"/>
      <c r="Z25" s="314"/>
      <c r="AA25" s="63"/>
      <c r="AB25" s="315"/>
    </row>
    <row r="26" spans="1:28" ht="20.25">
      <c r="A26" s="66"/>
      <c r="B26" s="45"/>
      <c r="C26" s="114">
        <v>4140</v>
      </c>
      <c r="D26" s="87" t="s">
        <v>52</v>
      </c>
      <c r="E26" s="71">
        <v>15780</v>
      </c>
      <c r="F26" s="71">
        <v>15779.62</v>
      </c>
      <c r="G26" s="276">
        <f t="shared" si="4"/>
        <v>0.9999759188846642</v>
      </c>
      <c r="H26" s="71">
        <v>15780</v>
      </c>
      <c r="I26" s="71">
        <v>15779.62</v>
      </c>
      <c r="J26" s="105">
        <f t="shared" si="5"/>
        <v>0.9999759188846642</v>
      </c>
      <c r="K26" s="292"/>
      <c r="L26" s="293"/>
      <c r="M26" s="309"/>
      <c r="N26" s="292"/>
      <c r="O26" s="293"/>
      <c r="P26" s="310"/>
      <c r="S26" s="66"/>
      <c r="T26" s="311"/>
      <c r="U26" s="312"/>
      <c r="V26" s="313"/>
      <c r="W26" s="63"/>
      <c r="X26" s="314"/>
      <c r="Y26" s="63"/>
      <c r="Z26" s="314"/>
      <c r="AA26" s="63"/>
      <c r="AB26" s="315"/>
    </row>
    <row r="27" spans="1:28" ht="20.25">
      <c r="A27" s="66"/>
      <c r="B27" s="45"/>
      <c r="C27" s="114">
        <v>4210</v>
      </c>
      <c r="D27" s="87" t="s">
        <v>43</v>
      </c>
      <c r="E27" s="51">
        <v>6000</v>
      </c>
      <c r="F27" s="71">
        <v>5615.28</v>
      </c>
      <c r="G27" s="276">
        <f t="shared" si="2"/>
        <v>0.9358799999999999</v>
      </c>
      <c r="H27" s="51">
        <v>6000</v>
      </c>
      <c r="I27" s="71">
        <v>5615.28</v>
      </c>
      <c r="J27" s="105">
        <f t="shared" si="3"/>
        <v>0.9358799999999999</v>
      </c>
      <c r="K27" s="292"/>
      <c r="L27" s="293"/>
      <c r="M27" s="316"/>
      <c r="N27" s="292"/>
      <c r="O27" s="293"/>
      <c r="P27" s="310"/>
      <c r="S27" s="317"/>
      <c r="T27" s="318" t="e">
        <f>#REF!</f>
        <v>#REF!</v>
      </c>
      <c r="U27" s="319"/>
      <c r="V27" s="320"/>
      <c r="W27" s="273"/>
      <c r="X27" s="274"/>
      <c r="Y27" s="273"/>
      <c r="Z27" s="274"/>
      <c r="AA27" s="273"/>
      <c r="AB27" s="275"/>
    </row>
    <row r="28" spans="1:28" ht="20.25">
      <c r="A28" s="66"/>
      <c r="B28" s="45"/>
      <c r="C28" s="114">
        <v>4270</v>
      </c>
      <c r="D28" s="87" t="s">
        <v>44</v>
      </c>
      <c r="E28" s="51">
        <v>24360</v>
      </c>
      <c r="F28" s="71">
        <v>20263.1</v>
      </c>
      <c r="G28" s="276">
        <f t="shared" si="2"/>
        <v>0.8318185550082101</v>
      </c>
      <c r="H28" s="51">
        <v>24360</v>
      </c>
      <c r="I28" s="71">
        <v>20263.1</v>
      </c>
      <c r="J28" s="105"/>
      <c r="K28" s="292"/>
      <c r="L28" s="293"/>
      <c r="M28" s="316"/>
      <c r="N28" s="292"/>
      <c r="O28" s="293"/>
      <c r="P28" s="310"/>
      <c r="S28" s="317"/>
      <c r="T28" s="318"/>
      <c r="U28" s="319"/>
      <c r="V28" s="320"/>
      <c r="W28" s="273"/>
      <c r="X28" s="274"/>
      <c r="Y28" s="273"/>
      <c r="Z28" s="274"/>
      <c r="AA28" s="273"/>
      <c r="AB28" s="275"/>
    </row>
    <row r="29" spans="1:28" ht="20.25">
      <c r="A29" s="66"/>
      <c r="B29" s="45"/>
      <c r="C29" s="114">
        <v>4280</v>
      </c>
      <c r="D29" s="87" t="s">
        <v>102</v>
      </c>
      <c r="E29" s="51">
        <v>1410</v>
      </c>
      <c r="F29" s="71">
        <v>1410</v>
      </c>
      <c r="G29" s="276">
        <f t="shared" si="2"/>
        <v>1</v>
      </c>
      <c r="H29" s="51">
        <v>1410</v>
      </c>
      <c r="I29" s="71">
        <v>1410</v>
      </c>
      <c r="J29" s="105">
        <f t="shared" si="3"/>
        <v>1</v>
      </c>
      <c r="K29" s="292"/>
      <c r="L29" s="293"/>
      <c r="M29" s="316"/>
      <c r="N29" s="292"/>
      <c r="O29" s="293"/>
      <c r="P29" s="310"/>
      <c r="S29" s="279">
        <f>A175</f>
        <v>757</v>
      </c>
      <c r="T29" s="280" t="str">
        <f>D175</f>
        <v>Obsługa długu publicznego</v>
      </c>
      <c r="U29" s="281">
        <f>F175</f>
        <v>172933.47</v>
      </c>
      <c r="V29" s="282">
        <f>U29/E175</f>
        <v>0.9607415</v>
      </c>
      <c r="W29" s="283">
        <f>I175</f>
        <v>172933.47</v>
      </c>
      <c r="X29" s="284">
        <f>W29/H175</f>
        <v>0.9607415</v>
      </c>
      <c r="Y29" s="283">
        <f>L175</f>
        <v>0</v>
      </c>
      <c r="Z29" s="284" t="e">
        <f>Y29/#REF!</f>
        <v>#REF!</v>
      </c>
      <c r="AA29" s="283">
        <f>O175</f>
        <v>0</v>
      </c>
      <c r="AB29" s="285" t="e">
        <f>AA29/#REF!</f>
        <v>#REF!</v>
      </c>
    </row>
    <row r="30" spans="1:28" ht="20.25">
      <c r="A30" s="66"/>
      <c r="B30" s="45"/>
      <c r="C30" s="114">
        <v>4300</v>
      </c>
      <c r="D30" s="87" t="s">
        <v>45</v>
      </c>
      <c r="E30" s="51">
        <v>6000</v>
      </c>
      <c r="F30" s="71">
        <v>3593.69</v>
      </c>
      <c r="G30" s="276">
        <f t="shared" si="2"/>
        <v>0.5989483333333333</v>
      </c>
      <c r="H30" s="51">
        <v>6000</v>
      </c>
      <c r="I30" s="71">
        <v>3593.69</v>
      </c>
      <c r="J30" s="105">
        <f t="shared" si="3"/>
        <v>0.5989483333333333</v>
      </c>
      <c r="K30" s="292"/>
      <c r="L30" s="293"/>
      <c r="M30" s="316"/>
      <c r="N30" s="292"/>
      <c r="O30" s="293"/>
      <c r="P30" s="310"/>
      <c r="S30" s="279">
        <f>A179</f>
        <v>801</v>
      </c>
      <c r="T30" s="280" t="str">
        <f>D179</f>
        <v>Oświata i wychowanie</v>
      </c>
      <c r="U30" s="281">
        <f>F179</f>
        <v>5366566.720000001</v>
      </c>
      <c r="V30" s="282">
        <f>U30/E179</f>
        <v>0.9580754535961795</v>
      </c>
      <c r="W30" s="283">
        <f>I179</f>
        <v>5366566.720000001</v>
      </c>
      <c r="X30" s="284">
        <f>W30/H179</f>
        <v>0.9580754535961795</v>
      </c>
      <c r="Y30" s="283">
        <f>L179</f>
        <v>0</v>
      </c>
      <c r="Z30" s="284" t="e">
        <f>Y30/#REF!</f>
        <v>#REF!</v>
      </c>
      <c r="AA30" s="283">
        <f>O179</f>
        <v>0</v>
      </c>
      <c r="AB30" s="285" t="e">
        <f>AA30/#REF!</f>
        <v>#REF!</v>
      </c>
    </row>
    <row r="31" spans="1:28" ht="20.25">
      <c r="A31" s="66"/>
      <c r="B31" s="45"/>
      <c r="C31" s="114">
        <v>4440</v>
      </c>
      <c r="D31" s="87" t="s">
        <v>129</v>
      </c>
      <c r="E31" s="51">
        <v>3100</v>
      </c>
      <c r="F31" s="71">
        <v>3100</v>
      </c>
      <c r="G31" s="276">
        <f t="shared" si="2"/>
        <v>1</v>
      </c>
      <c r="H31" s="51">
        <v>3100</v>
      </c>
      <c r="I31" s="71">
        <v>3100</v>
      </c>
      <c r="J31" s="105">
        <f t="shared" si="3"/>
        <v>1</v>
      </c>
      <c r="K31" s="292"/>
      <c r="L31" s="293"/>
      <c r="M31" s="316"/>
      <c r="N31" s="292"/>
      <c r="O31" s="293"/>
      <c r="P31" s="310"/>
      <c r="S31" s="279"/>
      <c r="T31" s="280"/>
      <c r="U31" s="281"/>
      <c r="V31" s="282"/>
      <c r="W31" s="283"/>
      <c r="X31" s="284"/>
      <c r="Y31" s="283"/>
      <c r="Z31" s="284"/>
      <c r="AA31" s="283"/>
      <c r="AB31" s="285"/>
    </row>
    <row r="32" spans="1:28" ht="21" thickBot="1">
      <c r="A32" s="66"/>
      <c r="B32" s="45"/>
      <c r="C32" s="114">
        <v>6050</v>
      </c>
      <c r="D32" s="87" t="s">
        <v>73</v>
      </c>
      <c r="E32" s="51">
        <v>101800</v>
      </c>
      <c r="F32" s="51">
        <v>96152.8</v>
      </c>
      <c r="G32" s="276">
        <f t="shared" si="2"/>
        <v>0.9445265225933203</v>
      </c>
      <c r="H32" s="51">
        <v>101800</v>
      </c>
      <c r="I32" s="51">
        <v>96152.8</v>
      </c>
      <c r="J32" s="105">
        <f t="shared" si="3"/>
        <v>0.9445265225933203</v>
      </c>
      <c r="K32" s="292"/>
      <c r="L32" s="293"/>
      <c r="M32" s="316"/>
      <c r="N32" s="292"/>
      <c r="O32" s="293"/>
      <c r="P32" s="310"/>
      <c r="S32" s="220">
        <f>A326</f>
        <v>851</v>
      </c>
      <c r="T32" s="280" t="str">
        <f>D326</f>
        <v>Ochrona zdrowia</v>
      </c>
      <c r="U32" s="281">
        <f>F326</f>
        <v>66320.23000000001</v>
      </c>
      <c r="V32" s="282">
        <f>U32/E326</f>
        <v>0.7802380000000001</v>
      </c>
      <c r="W32" s="283">
        <f>I326</f>
        <v>66320.23000000001</v>
      </c>
      <c r="X32" s="284">
        <f>W32/H326</f>
        <v>0.7802380000000001</v>
      </c>
      <c r="Y32" s="283">
        <f>L326</f>
        <v>0</v>
      </c>
      <c r="Z32" s="284" t="e">
        <f>Y32/#REF!</f>
        <v>#REF!</v>
      </c>
      <c r="AA32" s="283">
        <f>O326</f>
        <v>0</v>
      </c>
      <c r="AB32" s="285" t="e">
        <f>AA32/#REF!</f>
        <v>#REF!</v>
      </c>
    </row>
    <row r="33" spans="1:28" s="195" customFormat="1" ht="30" customHeight="1" thickBot="1">
      <c r="A33" s="398">
        <v>630</v>
      </c>
      <c r="B33" s="113"/>
      <c r="C33" s="113"/>
      <c r="D33" s="113" t="s">
        <v>23</v>
      </c>
      <c r="E33" s="168">
        <f>E34</f>
        <v>33000</v>
      </c>
      <c r="F33" s="168">
        <f>F34</f>
        <v>31793.87</v>
      </c>
      <c r="G33" s="399">
        <f t="shared" si="2"/>
        <v>0.9634506060606061</v>
      </c>
      <c r="H33" s="168">
        <f>H34</f>
        <v>33000</v>
      </c>
      <c r="I33" s="168">
        <f>I34</f>
        <v>31793.87</v>
      </c>
      <c r="J33" s="191">
        <f t="shared" si="3"/>
        <v>0.9634506060606061</v>
      </c>
      <c r="K33" s="409"/>
      <c r="L33" s="410"/>
      <c r="M33" s="411"/>
      <c r="N33" s="409"/>
      <c r="O33" s="410"/>
      <c r="P33" s="412"/>
      <c r="S33" s="221">
        <f>A342</f>
        <v>852</v>
      </c>
      <c r="T33" s="403" t="str">
        <f>D342</f>
        <v>Pomoc społeczna</v>
      </c>
      <c r="U33" s="404">
        <f>F342</f>
        <v>2755338.4699999997</v>
      </c>
      <c r="V33" s="405">
        <f>U33/E342</f>
        <v>0.9923000742963187</v>
      </c>
      <c r="W33" s="406">
        <f>I342</f>
        <v>867831.25</v>
      </c>
      <c r="X33" s="407">
        <f>W33/H342</f>
        <v>0.9969685916803566</v>
      </c>
      <c r="Y33" s="406">
        <f>L342</f>
        <v>1887507.2199999997</v>
      </c>
      <c r="Z33" s="407">
        <f>Y33/K342</f>
        <v>0.990168241399733</v>
      </c>
      <c r="AA33" s="406">
        <f>O342</f>
        <v>0</v>
      </c>
      <c r="AB33" s="408" t="e">
        <f>AA33/#REF!</f>
        <v>#REF!</v>
      </c>
    </row>
    <row r="34" spans="1:28" ht="20.25">
      <c r="A34" s="262"/>
      <c r="B34" s="45">
        <v>63095</v>
      </c>
      <c r="C34" s="115"/>
      <c r="D34" s="45" t="s">
        <v>4</v>
      </c>
      <c r="E34" s="67">
        <f>SUM(E35:E37)</f>
        <v>33000</v>
      </c>
      <c r="F34" s="67">
        <f>SUM(F35:F37)</f>
        <v>31793.87</v>
      </c>
      <c r="G34" s="263">
        <f t="shared" si="2"/>
        <v>0.9634506060606061</v>
      </c>
      <c r="H34" s="67">
        <f>SUM(H35:H37)</f>
        <v>33000</v>
      </c>
      <c r="I34" s="67">
        <f>SUM(I35:I37)</f>
        <v>31793.87</v>
      </c>
      <c r="J34" s="291">
        <f aca="true" t="shared" si="6" ref="J34:J45">I34/H34</f>
        <v>0.9634506060606061</v>
      </c>
      <c r="K34" s="292"/>
      <c r="L34" s="293"/>
      <c r="M34" s="309"/>
      <c r="N34" s="292"/>
      <c r="O34" s="293"/>
      <c r="P34" s="310"/>
      <c r="S34" s="220"/>
      <c r="T34" s="280"/>
      <c r="U34" s="281"/>
      <c r="V34" s="282"/>
      <c r="W34" s="283"/>
      <c r="X34" s="284"/>
      <c r="Y34" s="283"/>
      <c r="Z34" s="284"/>
      <c r="AA34" s="283"/>
      <c r="AB34" s="285"/>
    </row>
    <row r="35" spans="1:28" ht="20.25">
      <c r="A35" s="66"/>
      <c r="B35" s="45"/>
      <c r="C35" s="114">
        <v>4210</v>
      </c>
      <c r="D35" s="87" t="s">
        <v>43</v>
      </c>
      <c r="E35" s="51">
        <v>1300</v>
      </c>
      <c r="F35" s="71">
        <v>1216.34</v>
      </c>
      <c r="G35" s="276">
        <f t="shared" si="2"/>
        <v>0.9356461538461538</v>
      </c>
      <c r="H35" s="51">
        <v>1300</v>
      </c>
      <c r="I35" s="71">
        <v>1216.34</v>
      </c>
      <c r="J35" s="105">
        <f t="shared" si="3"/>
        <v>0.9356461538461538</v>
      </c>
      <c r="K35" s="292"/>
      <c r="L35" s="293"/>
      <c r="M35" s="316"/>
      <c r="N35" s="292"/>
      <c r="O35" s="293"/>
      <c r="P35" s="310"/>
      <c r="S35" s="220">
        <f>A388</f>
        <v>854</v>
      </c>
      <c r="T35" s="280" t="str">
        <f>D388</f>
        <v>Edukacyjna opieka wychowawcza</v>
      </c>
      <c r="U35" s="281">
        <f>F388</f>
        <v>214412.28</v>
      </c>
      <c r="V35" s="282">
        <f>U35/E388</f>
        <v>0.8228460245458104</v>
      </c>
      <c r="W35" s="283">
        <f>I388</f>
        <v>195968.37</v>
      </c>
      <c r="X35" s="284">
        <f>W35/H388</f>
        <v>0.809351877090819</v>
      </c>
      <c r="Y35" s="283">
        <f>L388</f>
        <v>0</v>
      </c>
      <c r="Z35" s="284" t="e">
        <f>Y35/#REF!</f>
        <v>#REF!</v>
      </c>
      <c r="AA35" s="283">
        <f>O388</f>
        <v>18443.91</v>
      </c>
      <c r="AB35" s="285" t="e">
        <f>AA35/#REF!</f>
        <v>#REF!</v>
      </c>
    </row>
    <row r="36" spans="1:28" ht="20.25">
      <c r="A36" s="66"/>
      <c r="B36" s="45"/>
      <c r="C36" s="114">
        <v>4270</v>
      </c>
      <c r="D36" s="87" t="s">
        <v>44</v>
      </c>
      <c r="E36" s="51">
        <v>5000</v>
      </c>
      <c r="F36" s="71">
        <v>4000</v>
      </c>
      <c r="G36" s="276">
        <f>F36/E36</f>
        <v>0.8</v>
      </c>
      <c r="H36" s="51">
        <v>5000</v>
      </c>
      <c r="I36" s="71">
        <v>4000</v>
      </c>
      <c r="J36" s="105">
        <f t="shared" si="6"/>
        <v>0.8</v>
      </c>
      <c r="K36" s="292"/>
      <c r="L36" s="293"/>
      <c r="M36" s="316"/>
      <c r="N36" s="292"/>
      <c r="O36" s="293"/>
      <c r="P36" s="310"/>
      <c r="S36" s="220">
        <f>A430</f>
        <v>921</v>
      </c>
      <c r="T36" s="280" t="str">
        <f>D430</f>
        <v>Kultura i ochrona dziedzictwa narodowego</v>
      </c>
      <c r="U36" s="281">
        <f>F430</f>
        <v>152013.72</v>
      </c>
      <c r="V36" s="282">
        <f>U36/E430</f>
        <v>0.98967265625</v>
      </c>
      <c r="W36" s="283">
        <f>I430</f>
        <v>152013.72</v>
      </c>
      <c r="X36" s="284">
        <f>W36/H430</f>
        <v>0.98967265625</v>
      </c>
      <c r="Y36" s="283">
        <f>L430</f>
        <v>0</v>
      </c>
      <c r="Z36" s="284" t="e">
        <f>Y36/#REF!</f>
        <v>#REF!</v>
      </c>
      <c r="AA36" s="283">
        <f>O430</f>
        <v>0</v>
      </c>
      <c r="AB36" s="285" t="e">
        <f>AA36/N430</f>
        <v>#DIV/0!</v>
      </c>
    </row>
    <row r="37" spans="1:28" ht="21" thickBot="1">
      <c r="A37" s="66"/>
      <c r="B37" s="45"/>
      <c r="C37" s="114">
        <v>4300</v>
      </c>
      <c r="D37" s="58" t="s">
        <v>45</v>
      </c>
      <c r="E37" s="51">
        <v>26700</v>
      </c>
      <c r="F37" s="71">
        <v>26577.53</v>
      </c>
      <c r="G37" s="276">
        <f>F37/E37</f>
        <v>0.9954131086142322</v>
      </c>
      <c r="H37" s="51">
        <v>26700</v>
      </c>
      <c r="I37" s="71">
        <v>26577.53</v>
      </c>
      <c r="J37" s="105">
        <f>I37/H37</f>
        <v>0.9954131086142322</v>
      </c>
      <c r="K37" s="292"/>
      <c r="L37" s="293"/>
      <c r="M37" s="316"/>
      <c r="N37" s="292"/>
      <c r="O37" s="293"/>
      <c r="P37" s="310"/>
      <c r="S37" s="60"/>
      <c r="T37" s="55"/>
      <c r="U37" s="63"/>
      <c r="V37" s="321"/>
      <c r="W37" s="63"/>
      <c r="X37" s="321"/>
      <c r="Y37" s="63"/>
      <c r="Z37" s="321"/>
      <c r="AA37" s="63"/>
      <c r="AB37" s="321"/>
    </row>
    <row r="38" spans="1:16" s="195" customFormat="1" ht="30" customHeight="1" thickBot="1">
      <c r="A38" s="398">
        <v>700</v>
      </c>
      <c r="B38" s="113"/>
      <c r="C38" s="113"/>
      <c r="D38" s="113" t="s">
        <v>5</v>
      </c>
      <c r="E38" s="168">
        <f>E39+E41+E45</f>
        <v>53000</v>
      </c>
      <c r="F38" s="168">
        <f>F39+F41+F45</f>
        <v>49635.270000000004</v>
      </c>
      <c r="G38" s="399">
        <f aca="true" t="shared" si="7" ref="G38:G46">F38/E38</f>
        <v>0.9365145283018869</v>
      </c>
      <c r="H38" s="168">
        <f>H39+H41+H45</f>
        <v>53000</v>
      </c>
      <c r="I38" s="168">
        <f>I39+I41+I45</f>
        <v>49635.270000000004</v>
      </c>
      <c r="J38" s="191">
        <f t="shared" si="6"/>
        <v>0.9365145283018869</v>
      </c>
      <c r="K38" s="400"/>
      <c r="L38" s="168"/>
      <c r="M38" s="413"/>
      <c r="N38" s="400"/>
      <c r="O38" s="168"/>
      <c r="P38" s="194"/>
    </row>
    <row r="39" spans="1:27" ht="38.25" customHeight="1">
      <c r="A39" s="66"/>
      <c r="B39" s="116">
        <v>70004</v>
      </c>
      <c r="C39" s="116"/>
      <c r="D39" s="117" t="s">
        <v>185</v>
      </c>
      <c r="E39" s="95">
        <f>E40</f>
        <v>2500</v>
      </c>
      <c r="F39" s="95">
        <f>F40</f>
        <v>385.35</v>
      </c>
      <c r="G39" s="287">
        <f>F39/E39</f>
        <v>0.15414</v>
      </c>
      <c r="H39" s="95">
        <f>H40</f>
        <v>2500</v>
      </c>
      <c r="I39" s="95">
        <f>I40</f>
        <v>385.35</v>
      </c>
      <c r="J39" s="81">
        <f>I39/H39</f>
        <v>0.15414</v>
      </c>
      <c r="K39" s="305"/>
      <c r="L39" s="306"/>
      <c r="M39" s="307"/>
      <c r="N39" s="289"/>
      <c r="O39" s="79"/>
      <c r="P39" s="125"/>
      <c r="U39" s="322">
        <f>F448</f>
        <v>12425389.62</v>
      </c>
      <c r="W39" s="322">
        <f>I448</f>
        <v>9956677.9</v>
      </c>
      <c r="Y39" s="322">
        <f>L448</f>
        <v>2159949.4899999998</v>
      </c>
      <c r="AA39" s="322">
        <f>O448</f>
        <v>308762.23</v>
      </c>
    </row>
    <row r="40" spans="1:27" ht="40.5">
      <c r="A40" s="66"/>
      <c r="B40" s="368"/>
      <c r="C40" s="369">
        <v>4400</v>
      </c>
      <c r="D40" s="370" t="s">
        <v>184</v>
      </c>
      <c r="E40" s="371">
        <v>2500</v>
      </c>
      <c r="F40" s="371">
        <v>385.35</v>
      </c>
      <c r="G40" s="372">
        <f>F40/E40</f>
        <v>0.15414</v>
      </c>
      <c r="H40" s="371">
        <v>2500</v>
      </c>
      <c r="I40" s="371">
        <v>385.35</v>
      </c>
      <c r="J40" s="373">
        <f>I40/H40</f>
        <v>0.15414</v>
      </c>
      <c r="K40" s="374"/>
      <c r="L40" s="375"/>
      <c r="M40" s="376"/>
      <c r="N40" s="374"/>
      <c r="O40" s="375"/>
      <c r="P40" s="377"/>
      <c r="U40" s="322"/>
      <c r="W40" s="322"/>
      <c r="Y40" s="322"/>
      <c r="AA40" s="322"/>
    </row>
    <row r="41" spans="1:16" ht="20.25">
      <c r="A41" s="66"/>
      <c r="B41" s="45">
        <v>70005</v>
      </c>
      <c r="C41" s="114"/>
      <c r="D41" s="45" t="s">
        <v>17</v>
      </c>
      <c r="E41" s="67">
        <f>E42+E44</f>
        <v>38860</v>
      </c>
      <c r="F41" s="67">
        <f>F42+F44</f>
        <v>38228.91</v>
      </c>
      <c r="G41" s="263">
        <f t="shared" si="7"/>
        <v>0.983759907359753</v>
      </c>
      <c r="H41" s="109">
        <f>H42+H44</f>
        <v>38860</v>
      </c>
      <c r="I41" s="109">
        <f>I42+I44</f>
        <v>38228.91</v>
      </c>
      <c r="J41" s="291">
        <f t="shared" si="6"/>
        <v>0.983759907359753</v>
      </c>
      <c r="K41" s="292"/>
      <c r="L41" s="293"/>
      <c r="M41" s="316"/>
      <c r="N41" s="292"/>
      <c r="O41" s="293"/>
      <c r="P41" s="310"/>
    </row>
    <row r="42" spans="1:16" ht="20.25">
      <c r="A42" s="317"/>
      <c r="B42" s="211"/>
      <c r="C42" s="354">
        <v>4300</v>
      </c>
      <c r="D42" s="212" t="s">
        <v>45</v>
      </c>
      <c r="E42" s="213">
        <v>37530</v>
      </c>
      <c r="F42" s="214">
        <v>36904.91</v>
      </c>
      <c r="G42" s="355">
        <f t="shared" si="7"/>
        <v>0.9833442579269919</v>
      </c>
      <c r="H42" s="213">
        <v>37530</v>
      </c>
      <c r="I42" s="214">
        <v>36904.91</v>
      </c>
      <c r="J42" s="356">
        <f t="shared" si="6"/>
        <v>0.9833442579269919</v>
      </c>
      <c r="K42" s="357"/>
      <c r="L42" s="358"/>
      <c r="M42" s="359"/>
      <c r="N42" s="357"/>
      <c r="O42" s="358"/>
      <c r="P42" s="360"/>
    </row>
    <row r="43" spans="1:16" ht="22.5" customHeight="1" thickBot="1">
      <c r="A43" s="253">
        <v>1</v>
      </c>
      <c r="B43" s="253">
        <v>2</v>
      </c>
      <c r="C43" s="253">
        <v>3</v>
      </c>
      <c r="D43" s="253">
        <v>4</v>
      </c>
      <c r="E43" s="254">
        <v>5</v>
      </c>
      <c r="F43" s="254">
        <v>6</v>
      </c>
      <c r="G43" s="255">
        <v>7</v>
      </c>
      <c r="H43" s="256">
        <v>8</v>
      </c>
      <c r="I43" s="254">
        <v>9</v>
      </c>
      <c r="J43" s="257">
        <v>10</v>
      </c>
      <c r="K43" s="258">
        <v>11</v>
      </c>
      <c r="L43" s="259">
        <v>12</v>
      </c>
      <c r="M43" s="255">
        <v>13</v>
      </c>
      <c r="N43" s="260">
        <v>14</v>
      </c>
      <c r="O43" s="261">
        <v>15</v>
      </c>
      <c r="P43" s="261">
        <v>16</v>
      </c>
    </row>
    <row r="44" spans="1:16" ht="36" customHeight="1" thickTop="1">
      <c r="A44" s="447"/>
      <c r="B44" s="436"/>
      <c r="C44" s="437">
        <v>4610</v>
      </c>
      <c r="D44" s="438" t="s">
        <v>186</v>
      </c>
      <c r="E44" s="439">
        <v>1330</v>
      </c>
      <c r="F44" s="440">
        <v>1324</v>
      </c>
      <c r="G44" s="441">
        <f t="shared" si="7"/>
        <v>0.9954887218045113</v>
      </c>
      <c r="H44" s="439">
        <v>1330</v>
      </c>
      <c r="I44" s="440">
        <v>1324</v>
      </c>
      <c r="J44" s="442">
        <f t="shared" si="6"/>
        <v>0.9954887218045113</v>
      </c>
      <c r="K44" s="443"/>
      <c r="L44" s="444"/>
      <c r="M44" s="445"/>
      <c r="N44" s="443"/>
      <c r="O44" s="444"/>
      <c r="P44" s="446"/>
    </row>
    <row r="45" spans="1:16" ht="20.25">
      <c r="A45" s="66"/>
      <c r="B45" s="45">
        <v>70095</v>
      </c>
      <c r="C45" s="114"/>
      <c r="D45" s="87" t="s">
        <v>4</v>
      </c>
      <c r="E45" s="109">
        <f>SUM(E46:E49)</f>
        <v>11640</v>
      </c>
      <c r="F45" s="109">
        <f>SUM(F46:F49)</f>
        <v>11021.01</v>
      </c>
      <c r="G45" s="263">
        <f t="shared" si="7"/>
        <v>0.9468221649484536</v>
      </c>
      <c r="H45" s="109">
        <f>SUM(H46:H49)</f>
        <v>11640</v>
      </c>
      <c r="I45" s="109">
        <f>SUM(I46:I49)</f>
        <v>11021.01</v>
      </c>
      <c r="J45" s="52">
        <f t="shared" si="6"/>
        <v>0.9468221649484536</v>
      </c>
      <c r="K45" s="292"/>
      <c r="L45" s="293"/>
      <c r="M45" s="309"/>
      <c r="N45" s="265"/>
      <c r="O45" s="67"/>
      <c r="P45" s="69"/>
    </row>
    <row r="46" spans="1:16" ht="20.25">
      <c r="A46" s="66"/>
      <c r="B46" s="45"/>
      <c r="C46" s="114">
        <v>4210</v>
      </c>
      <c r="D46" s="87" t="s">
        <v>43</v>
      </c>
      <c r="E46" s="51">
        <v>1850</v>
      </c>
      <c r="F46" s="51">
        <v>1844.5</v>
      </c>
      <c r="G46" s="276">
        <f t="shared" si="7"/>
        <v>0.9970270270270271</v>
      </c>
      <c r="H46" s="51">
        <v>1850</v>
      </c>
      <c r="I46" s="51">
        <v>1844.5</v>
      </c>
      <c r="J46" s="105">
        <f>I46/H46</f>
        <v>0.9970270270270271</v>
      </c>
      <c r="K46" s="292"/>
      <c r="L46" s="293"/>
      <c r="M46" s="316"/>
      <c r="N46" s="292"/>
      <c r="O46" s="293"/>
      <c r="P46" s="310"/>
    </row>
    <row r="47" spans="1:16" ht="20.25">
      <c r="A47" s="66"/>
      <c r="B47" s="45"/>
      <c r="C47" s="114">
        <v>4270</v>
      </c>
      <c r="D47" s="87" t="s">
        <v>44</v>
      </c>
      <c r="E47" s="51">
        <v>3970</v>
      </c>
      <c r="F47" s="51">
        <v>3967.34</v>
      </c>
      <c r="G47" s="276">
        <f>F47/E47</f>
        <v>0.9993299748110832</v>
      </c>
      <c r="H47" s="51">
        <v>3970</v>
      </c>
      <c r="I47" s="51">
        <v>3967.34</v>
      </c>
      <c r="J47" s="105">
        <f>I47/H47</f>
        <v>0.9993299748110832</v>
      </c>
      <c r="K47" s="292"/>
      <c r="L47" s="293"/>
      <c r="M47" s="316"/>
      <c r="N47" s="292"/>
      <c r="O47" s="293"/>
      <c r="P47" s="310"/>
    </row>
    <row r="48" spans="1:16" ht="20.25">
      <c r="A48" s="66"/>
      <c r="B48" s="45"/>
      <c r="C48" s="114">
        <v>4300</v>
      </c>
      <c r="D48" s="87" t="s">
        <v>45</v>
      </c>
      <c r="E48" s="51">
        <v>600</v>
      </c>
      <c r="F48" s="51">
        <v>599.2</v>
      </c>
      <c r="G48" s="276">
        <f>F48/E48</f>
        <v>0.9986666666666667</v>
      </c>
      <c r="H48" s="51">
        <v>600</v>
      </c>
      <c r="I48" s="51">
        <v>599.2</v>
      </c>
      <c r="J48" s="105">
        <f>I48/H48</f>
        <v>0.9986666666666667</v>
      </c>
      <c r="K48" s="292"/>
      <c r="L48" s="293"/>
      <c r="M48" s="316"/>
      <c r="N48" s="292"/>
      <c r="O48" s="293"/>
      <c r="P48" s="310"/>
    </row>
    <row r="49" spans="1:16" ht="21" thickBot="1">
      <c r="A49" s="66"/>
      <c r="B49" s="45"/>
      <c r="C49" s="114">
        <v>4430</v>
      </c>
      <c r="D49" s="87" t="s">
        <v>54</v>
      </c>
      <c r="E49" s="51">
        <v>5220</v>
      </c>
      <c r="F49" s="51">
        <v>4609.97</v>
      </c>
      <c r="G49" s="276">
        <f>F49/E49</f>
        <v>0.8831360153256705</v>
      </c>
      <c r="H49" s="51">
        <v>5220</v>
      </c>
      <c r="I49" s="51">
        <v>4609.97</v>
      </c>
      <c r="J49" s="105">
        <f aca="true" t="shared" si="8" ref="J49:J62">I49/H49</f>
        <v>0.8831360153256705</v>
      </c>
      <c r="K49" s="292"/>
      <c r="L49" s="293"/>
      <c r="M49" s="316"/>
      <c r="N49" s="292"/>
      <c r="O49" s="293"/>
      <c r="P49" s="310"/>
    </row>
    <row r="50" spans="1:16" s="195" customFormat="1" ht="30" customHeight="1" thickBot="1">
      <c r="A50" s="398">
        <v>710</v>
      </c>
      <c r="B50" s="113"/>
      <c r="C50" s="113"/>
      <c r="D50" s="113" t="s">
        <v>34</v>
      </c>
      <c r="E50" s="168">
        <f>E51+E53+E55+E60</f>
        <v>171000</v>
      </c>
      <c r="F50" s="168">
        <f>F51+F53+F55+F60</f>
        <v>168830.05</v>
      </c>
      <c r="G50" s="399">
        <f>F50/E50</f>
        <v>0.9873102339181286</v>
      </c>
      <c r="H50" s="168">
        <f>H51+H53+H55+H60</f>
        <v>155200</v>
      </c>
      <c r="I50" s="168">
        <f>I51+I53+I55+I60</f>
        <v>153030.05</v>
      </c>
      <c r="J50" s="191">
        <f t="shared" si="8"/>
        <v>0.9860183634020617</v>
      </c>
      <c r="K50" s="400"/>
      <c r="L50" s="168"/>
      <c r="M50" s="413"/>
      <c r="N50" s="400">
        <f>N55</f>
        <v>15800.000000000002</v>
      </c>
      <c r="O50" s="168">
        <f>O55</f>
        <v>15800.000000000002</v>
      </c>
      <c r="P50" s="414">
        <f>O50/N50</f>
        <v>1</v>
      </c>
    </row>
    <row r="51" spans="1:16" ht="20.25">
      <c r="A51" s="66"/>
      <c r="B51" s="45">
        <v>71004</v>
      </c>
      <c r="C51" s="114"/>
      <c r="D51" s="45" t="s">
        <v>55</v>
      </c>
      <c r="E51" s="67">
        <f>E52</f>
        <v>14900</v>
      </c>
      <c r="F51" s="67">
        <f>F52</f>
        <v>14882.34</v>
      </c>
      <c r="G51" s="276">
        <f aca="true" t="shared" si="9" ref="G51:G76">F51/E51</f>
        <v>0.9988147651006711</v>
      </c>
      <c r="H51" s="67">
        <f>H52</f>
        <v>14900</v>
      </c>
      <c r="I51" s="67">
        <f>I52</f>
        <v>14882.34</v>
      </c>
      <c r="J51" s="81">
        <f t="shared" si="8"/>
        <v>0.9988147651006711</v>
      </c>
      <c r="K51" s="265"/>
      <c r="L51" s="67"/>
      <c r="M51" s="323"/>
      <c r="N51" s="265"/>
      <c r="O51" s="67"/>
      <c r="P51" s="69"/>
    </row>
    <row r="52" spans="1:16" ht="20.25">
      <c r="A52" s="66"/>
      <c r="B52" s="45"/>
      <c r="C52" s="114">
        <v>4300</v>
      </c>
      <c r="D52" s="87" t="s">
        <v>45</v>
      </c>
      <c r="E52" s="51">
        <v>14900</v>
      </c>
      <c r="F52" s="324">
        <v>14882.34</v>
      </c>
      <c r="G52" s="276">
        <f t="shared" si="9"/>
        <v>0.9988147651006711</v>
      </c>
      <c r="H52" s="324">
        <v>14900</v>
      </c>
      <c r="I52" s="293">
        <v>14882.34</v>
      </c>
      <c r="J52" s="105">
        <f t="shared" si="8"/>
        <v>0.9988147651006711</v>
      </c>
      <c r="K52" s="292"/>
      <c r="L52" s="293"/>
      <c r="M52" s="316"/>
      <c r="N52" s="292"/>
      <c r="O52" s="293"/>
      <c r="P52" s="310"/>
    </row>
    <row r="53" spans="1:16" ht="20.25">
      <c r="A53" s="66"/>
      <c r="B53" s="78">
        <v>71014</v>
      </c>
      <c r="C53" s="116"/>
      <c r="D53" s="78" t="s">
        <v>142</v>
      </c>
      <c r="E53" s="79">
        <f>E54</f>
        <v>500</v>
      </c>
      <c r="F53" s="95">
        <f>F54</f>
        <v>498.2</v>
      </c>
      <c r="G53" s="287">
        <f t="shared" si="9"/>
        <v>0.9964</v>
      </c>
      <c r="H53" s="95">
        <f>H54</f>
        <v>500</v>
      </c>
      <c r="I53" s="79">
        <f>I54</f>
        <v>498.2</v>
      </c>
      <c r="J53" s="325">
        <f t="shared" si="8"/>
        <v>0.9964</v>
      </c>
      <c r="K53" s="305"/>
      <c r="L53" s="306"/>
      <c r="M53" s="307"/>
      <c r="N53" s="305"/>
      <c r="O53" s="306"/>
      <c r="P53" s="308"/>
    </row>
    <row r="54" spans="1:16" ht="20.25">
      <c r="A54" s="66"/>
      <c r="B54" s="45"/>
      <c r="C54" s="114">
        <v>4300</v>
      </c>
      <c r="D54" s="87" t="s">
        <v>45</v>
      </c>
      <c r="E54" s="51">
        <v>500</v>
      </c>
      <c r="F54" s="324">
        <v>498.2</v>
      </c>
      <c r="G54" s="276">
        <f>F54/E54</f>
        <v>0.9964</v>
      </c>
      <c r="H54" s="324">
        <v>500</v>
      </c>
      <c r="I54" s="293">
        <v>498.2</v>
      </c>
      <c r="J54" s="105">
        <f t="shared" si="8"/>
        <v>0.9964</v>
      </c>
      <c r="K54" s="292"/>
      <c r="L54" s="293"/>
      <c r="M54" s="316"/>
      <c r="N54" s="292"/>
      <c r="O54" s="293"/>
      <c r="P54" s="310"/>
    </row>
    <row r="55" spans="1:16" ht="20.25">
      <c r="A55" s="66"/>
      <c r="B55" s="78">
        <v>71035</v>
      </c>
      <c r="C55" s="116"/>
      <c r="D55" s="78" t="s">
        <v>35</v>
      </c>
      <c r="E55" s="79">
        <f>SUM(E56:E59)</f>
        <v>45450</v>
      </c>
      <c r="F55" s="79">
        <f>SUM(F56:F59)</f>
        <v>45344.86</v>
      </c>
      <c r="G55" s="287">
        <f t="shared" si="9"/>
        <v>0.9976866886688669</v>
      </c>
      <c r="H55" s="79">
        <f>SUM(H56:H59)</f>
        <v>29650</v>
      </c>
      <c r="I55" s="79">
        <f>SUM(I56:I59)</f>
        <v>29544.86</v>
      </c>
      <c r="J55" s="96">
        <f t="shared" si="8"/>
        <v>0.9964539629005059</v>
      </c>
      <c r="K55" s="80"/>
      <c r="L55" s="79"/>
      <c r="M55" s="290"/>
      <c r="N55" s="289">
        <f>N56+N57+N58+N59</f>
        <v>15800.000000000002</v>
      </c>
      <c r="O55" s="289">
        <f>O56+O57+O58+O59</f>
        <v>15800.000000000002</v>
      </c>
      <c r="P55" s="125">
        <f>O55/N55</f>
        <v>1</v>
      </c>
    </row>
    <row r="56" spans="1:16" ht="20.25">
      <c r="A56" s="66"/>
      <c r="B56" s="45"/>
      <c r="C56" s="114">
        <v>4170</v>
      </c>
      <c r="D56" s="87" t="s">
        <v>98</v>
      </c>
      <c r="E56" s="51">
        <v>2000</v>
      </c>
      <c r="F56" s="71">
        <v>2000</v>
      </c>
      <c r="G56" s="263">
        <f t="shared" si="9"/>
        <v>1</v>
      </c>
      <c r="H56" s="67"/>
      <c r="I56" s="71"/>
      <c r="J56" s="52" t="s">
        <v>168</v>
      </c>
      <c r="K56" s="68"/>
      <c r="L56" s="67"/>
      <c r="M56" s="266"/>
      <c r="N56" s="277">
        <v>2000</v>
      </c>
      <c r="O56" s="51">
        <v>2000</v>
      </c>
      <c r="P56" s="69">
        <f>O56/N56</f>
        <v>1</v>
      </c>
    </row>
    <row r="57" spans="1:16" ht="20.25">
      <c r="A57" s="66"/>
      <c r="B57" s="91"/>
      <c r="C57" s="114">
        <v>4210</v>
      </c>
      <c r="D57" s="87" t="s">
        <v>43</v>
      </c>
      <c r="E57" s="51">
        <v>650</v>
      </c>
      <c r="F57" s="71">
        <v>649.2</v>
      </c>
      <c r="G57" s="276">
        <f t="shared" si="9"/>
        <v>0.9987692307692309</v>
      </c>
      <c r="H57" s="51">
        <v>0.8</v>
      </c>
      <c r="I57" s="71">
        <v>0</v>
      </c>
      <c r="J57" s="105">
        <f t="shared" si="8"/>
        <v>0</v>
      </c>
      <c r="K57" s="50"/>
      <c r="L57" s="51"/>
      <c r="M57" s="326"/>
      <c r="N57" s="277">
        <v>649.2</v>
      </c>
      <c r="O57" s="51">
        <v>649.2</v>
      </c>
      <c r="P57" s="69">
        <f>O57/N57</f>
        <v>1</v>
      </c>
    </row>
    <row r="58" spans="1:16" ht="20.25">
      <c r="A58" s="66"/>
      <c r="B58" s="91"/>
      <c r="C58" s="114">
        <v>4270</v>
      </c>
      <c r="D58" s="87" t="s">
        <v>44</v>
      </c>
      <c r="E58" s="51">
        <v>14000</v>
      </c>
      <c r="F58" s="71">
        <v>13971.99</v>
      </c>
      <c r="G58" s="276">
        <f t="shared" si="9"/>
        <v>0.9979992857142856</v>
      </c>
      <c r="H58" s="51">
        <v>2548.8</v>
      </c>
      <c r="I58" s="71">
        <v>2520.79</v>
      </c>
      <c r="J58" s="105">
        <f t="shared" si="8"/>
        <v>0.98901051475204</v>
      </c>
      <c r="K58" s="50"/>
      <c r="L58" s="51"/>
      <c r="M58" s="326"/>
      <c r="N58" s="277">
        <v>11451.2</v>
      </c>
      <c r="O58" s="51">
        <v>11451.2</v>
      </c>
      <c r="P58" s="69">
        <f>O58/N58</f>
        <v>1</v>
      </c>
    </row>
    <row r="59" spans="1:16" ht="20.25">
      <c r="A59" s="66"/>
      <c r="B59" s="378"/>
      <c r="C59" s="369">
        <v>4300</v>
      </c>
      <c r="D59" s="379" t="s">
        <v>45</v>
      </c>
      <c r="E59" s="380">
        <v>28800</v>
      </c>
      <c r="F59" s="371">
        <v>28723.67</v>
      </c>
      <c r="G59" s="372">
        <f t="shared" si="9"/>
        <v>0.9973496527777778</v>
      </c>
      <c r="H59" s="380">
        <v>27100.4</v>
      </c>
      <c r="I59" s="371">
        <v>27024.07</v>
      </c>
      <c r="J59" s="373">
        <f t="shared" si="8"/>
        <v>0.9971834364068426</v>
      </c>
      <c r="K59" s="352"/>
      <c r="L59" s="380"/>
      <c r="M59" s="381"/>
      <c r="N59" s="382">
        <v>1699.6</v>
      </c>
      <c r="O59" s="380">
        <v>1699.6</v>
      </c>
      <c r="P59" s="383">
        <f>O59/N59</f>
        <v>1</v>
      </c>
    </row>
    <row r="60" spans="1:16" ht="20.25">
      <c r="A60" s="66"/>
      <c r="B60" s="91">
        <v>71097</v>
      </c>
      <c r="C60" s="114"/>
      <c r="D60" s="45" t="s">
        <v>147</v>
      </c>
      <c r="E60" s="67">
        <f>E61</f>
        <v>110150</v>
      </c>
      <c r="F60" s="109">
        <f>F61</f>
        <v>108104.65</v>
      </c>
      <c r="G60" s="263">
        <f>F60/E60</f>
        <v>0.9814312301407172</v>
      </c>
      <c r="H60" s="67">
        <f>H61</f>
        <v>110150</v>
      </c>
      <c r="I60" s="109">
        <f>I61</f>
        <v>108104.65</v>
      </c>
      <c r="J60" s="102">
        <f>I60/H60</f>
        <v>0.9814312301407172</v>
      </c>
      <c r="K60" s="71"/>
      <c r="L60" s="51"/>
      <c r="M60" s="326"/>
      <c r="N60" s="277"/>
      <c r="O60" s="51"/>
      <c r="P60" s="73"/>
    </row>
    <row r="61" spans="1:16" ht="81.75" thickBot="1">
      <c r="A61" s="66"/>
      <c r="B61" s="91"/>
      <c r="C61" s="114">
        <v>4160</v>
      </c>
      <c r="D61" s="58" t="s">
        <v>159</v>
      </c>
      <c r="E61" s="51">
        <v>110150</v>
      </c>
      <c r="F61" s="71">
        <v>108104.65</v>
      </c>
      <c r="G61" s="276">
        <f>F61/E61</f>
        <v>0.9814312301407172</v>
      </c>
      <c r="H61" s="51">
        <v>110150</v>
      </c>
      <c r="I61" s="71">
        <v>108104.65</v>
      </c>
      <c r="J61" s="122">
        <f>I61/H61</f>
        <v>0.9814312301407172</v>
      </c>
      <c r="K61" s="71"/>
      <c r="L61" s="51"/>
      <c r="M61" s="326"/>
      <c r="N61" s="277"/>
      <c r="O61" s="51"/>
      <c r="P61" s="73"/>
    </row>
    <row r="62" spans="1:16" s="195" customFormat="1" ht="30" customHeight="1" thickBot="1">
      <c r="A62" s="398">
        <v>750</v>
      </c>
      <c r="B62" s="113"/>
      <c r="C62" s="113"/>
      <c r="D62" s="113" t="s">
        <v>25</v>
      </c>
      <c r="E62" s="168">
        <f>E63+E77+E85+E110+E115</f>
        <v>1536115</v>
      </c>
      <c r="F62" s="168">
        <f>F63+F77+F85+F110+F115</f>
        <v>1477196.3399999999</v>
      </c>
      <c r="G62" s="399">
        <f t="shared" si="9"/>
        <v>0.9616443690739299</v>
      </c>
      <c r="H62" s="168">
        <f>H63+H77+H85+H110+H115</f>
        <v>1439656</v>
      </c>
      <c r="I62" s="168">
        <f>I63+I77+I85+I110+I115</f>
        <v>1380737.3399999999</v>
      </c>
      <c r="J62" s="191">
        <f t="shared" si="8"/>
        <v>0.959074487238618</v>
      </c>
      <c r="K62" s="190">
        <f>K63+K77+K85+K110+K115</f>
        <v>96459</v>
      </c>
      <c r="L62" s="168">
        <f>L63+L77+L85+L110+L115</f>
        <v>96459</v>
      </c>
      <c r="M62" s="413">
        <f aca="true" t="shared" si="10" ref="M62:M75">L62/K62</f>
        <v>1</v>
      </c>
      <c r="N62" s="400"/>
      <c r="O62" s="168"/>
      <c r="P62" s="194"/>
    </row>
    <row r="63" spans="1:16" ht="20.25">
      <c r="A63" s="49"/>
      <c r="B63" s="45">
        <v>75011</v>
      </c>
      <c r="C63" s="114"/>
      <c r="D63" s="45" t="s">
        <v>13</v>
      </c>
      <c r="E63" s="327">
        <f>SUM(E64:E76)</f>
        <v>96459</v>
      </c>
      <c r="F63" s="328">
        <f>SUM(F64:F76)</f>
        <v>96459</v>
      </c>
      <c r="G63" s="263">
        <f t="shared" si="9"/>
        <v>1</v>
      </c>
      <c r="H63" s="109"/>
      <c r="I63" s="67"/>
      <c r="J63" s="291"/>
      <c r="K63" s="133">
        <f>SUM(K64:K76)</f>
        <v>96459</v>
      </c>
      <c r="L63" s="329">
        <f>SUM(L64:L76)</f>
        <v>96459</v>
      </c>
      <c r="M63" s="323">
        <f t="shared" si="10"/>
        <v>1</v>
      </c>
      <c r="N63" s="265"/>
      <c r="O63" s="67"/>
      <c r="P63" s="69"/>
    </row>
    <row r="64" spans="1:16" ht="20.25">
      <c r="A64" s="49"/>
      <c r="B64" s="45"/>
      <c r="C64" s="114">
        <v>4010</v>
      </c>
      <c r="D64" s="87" t="s">
        <v>48</v>
      </c>
      <c r="E64" s="51">
        <v>54000</v>
      </c>
      <c r="F64" s="51">
        <v>54000</v>
      </c>
      <c r="G64" s="276">
        <f t="shared" si="9"/>
        <v>1</v>
      </c>
      <c r="H64" s="324"/>
      <c r="I64" s="293"/>
      <c r="J64" s="330"/>
      <c r="K64" s="50">
        <v>54000</v>
      </c>
      <c r="L64" s="51">
        <v>54000</v>
      </c>
      <c r="M64" s="316">
        <f t="shared" si="10"/>
        <v>1</v>
      </c>
      <c r="N64" s="292"/>
      <c r="O64" s="293"/>
      <c r="P64" s="310"/>
    </row>
    <row r="65" spans="1:16" ht="20.25">
      <c r="A65" s="66"/>
      <c r="B65" s="45"/>
      <c r="C65" s="114">
        <v>4040</v>
      </c>
      <c r="D65" s="87" t="s">
        <v>49</v>
      </c>
      <c r="E65" s="51">
        <v>4250</v>
      </c>
      <c r="F65" s="51">
        <v>4250</v>
      </c>
      <c r="G65" s="276">
        <f t="shared" si="9"/>
        <v>1</v>
      </c>
      <c r="H65" s="324"/>
      <c r="I65" s="293"/>
      <c r="J65" s="330"/>
      <c r="K65" s="50">
        <v>4250</v>
      </c>
      <c r="L65" s="51">
        <v>4250</v>
      </c>
      <c r="M65" s="316">
        <f t="shared" si="10"/>
        <v>1</v>
      </c>
      <c r="N65" s="292"/>
      <c r="O65" s="293"/>
      <c r="P65" s="310"/>
    </row>
    <row r="66" spans="1:16" ht="20.25">
      <c r="A66" s="66"/>
      <c r="B66" s="45"/>
      <c r="C66" s="114">
        <v>4110</v>
      </c>
      <c r="D66" s="87" t="s">
        <v>50</v>
      </c>
      <c r="E66" s="51">
        <v>10013</v>
      </c>
      <c r="F66" s="51">
        <v>10013</v>
      </c>
      <c r="G66" s="276">
        <f t="shared" si="9"/>
        <v>1</v>
      </c>
      <c r="H66" s="324"/>
      <c r="I66" s="293"/>
      <c r="J66" s="330"/>
      <c r="K66" s="50">
        <v>10013</v>
      </c>
      <c r="L66" s="51">
        <v>10013</v>
      </c>
      <c r="M66" s="316">
        <f t="shared" si="10"/>
        <v>1</v>
      </c>
      <c r="N66" s="292"/>
      <c r="O66" s="293"/>
      <c r="P66" s="310"/>
    </row>
    <row r="67" spans="1:16" ht="20.25">
      <c r="A67" s="66"/>
      <c r="B67" s="45"/>
      <c r="C67" s="114">
        <v>4120</v>
      </c>
      <c r="D67" s="87" t="s">
        <v>51</v>
      </c>
      <c r="E67" s="51">
        <v>1427.04</v>
      </c>
      <c r="F67" s="51">
        <v>1427.04</v>
      </c>
      <c r="G67" s="276">
        <f t="shared" si="9"/>
        <v>1</v>
      </c>
      <c r="H67" s="324"/>
      <c r="I67" s="293"/>
      <c r="J67" s="330"/>
      <c r="K67" s="50">
        <v>1427.04</v>
      </c>
      <c r="L67" s="51">
        <v>1427.04</v>
      </c>
      <c r="M67" s="316">
        <f t="shared" si="10"/>
        <v>1</v>
      </c>
      <c r="N67" s="292"/>
      <c r="O67" s="293"/>
      <c r="P67" s="310"/>
    </row>
    <row r="68" spans="1:16" ht="20.25">
      <c r="A68" s="66"/>
      <c r="B68" s="45"/>
      <c r="C68" s="114">
        <v>4140</v>
      </c>
      <c r="D68" s="87" t="s">
        <v>52</v>
      </c>
      <c r="E68" s="51">
        <v>400</v>
      </c>
      <c r="F68" s="51">
        <v>400</v>
      </c>
      <c r="G68" s="276">
        <f t="shared" si="9"/>
        <v>1</v>
      </c>
      <c r="H68" s="324"/>
      <c r="I68" s="293"/>
      <c r="J68" s="330"/>
      <c r="K68" s="50">
        <v>400</v>
      </c>
      <c r="L68" s="51">
        <v>400</v>
      </c>
      <c r="M68" s="316">
        <f t="shared" si="10"/>
        <v>1</v>
      </c>
      <c r="N68" s="292"/>
      <c r="O68" s="293"/>
      <c r="P68" s="310"/>
    </row>
    <row r="69" spans="1:16" ht="20.25">
      <c r="A69" s="66"/>
      <c r="B69" s="45"/>
      <c r="C69" s="114">
        <v>4170</v>
      </c>
      <c r="D69" s="87" t="s">
        <v>98</v>
      </c>
      <c r="E69" s="51">
        <v>800</v>
      </c>
      <c r="F69" s="51">
        <v>800</v>
      </c>
      <c r="G69" s="276">
        <f t="shared" si="9"/>
        <v>1</v>
      </c>
      <c r="H69" s="324"/>
      <c r="I69" s="293"/>
      <c r="J69" s="330"/>
      <c r="K69" s="50">
        <v>800</v>
      </c>
      <c r="L69" s="51">
        <v>800</v>
      </c>
      <c r="M69" s="316">
        <f t="shared" si="10"/>
        <v>1</v>
      </c>
      <c r="N69" s="292"/>
      <c r="O69" s="293"/>
      <c r="P69" s="310"/>
    </row>
    <row r="70" spans="1:16" ht="20.25">
      <c r="A70" s="66"/>
      <c r="B70" s="45"/>
      <c r="C70" s="114">
        <v>4210</v>
      </c>
      <c r="D70" s="87" t="s">
        <v>43</v>
      </c>
      <c r="E70" s="51">
        <v>13214.63</v>
      </c>
      <c r="F70" s="51">
        <v>13214.63</v>
      </c>
      <c r="G70" s="276">
        <f t="shared" si="9"/>
        <v>1</v>
      </c>
      <c r="H70" s="324"/>
      <c r="I70" s="293"/>
      <c r="J70" s="330"/>
      <c r="K70" s="50">
        <v>13214.63</v>
      </c>
      <c r="L70" s="51">
        <v>13214.63</v>
      </c>
      <c r="M70" s="316">
        <f t="shared" si="10"/>
        <v>1</v>
      </c>
      <c r="N70" s="292"/>
      <c r="O70" s="293"/>
      <c r="P70" s="310"/>
    </row>
    <row r="71" spans="1:16" ht="20.25">
      <c r="A71" s="66"/>
      <c r="B71" s="45"/>
      <c r="C71" s="114">
        <v>4260</v>
      </c>
      <c r="D71" s="87" t="s">
        <v>53</v>
      </c>
      <c r="E71" s="51">
        <v>3677</v>
      </c>
      <c r="F71" s="51">
        <v>3677</v>
      </c>
      <c r="G71" s="276">
        <f t="shared" si="9"/>
        <v>1</v>
      </c>
      <c r="H71" s="324"/>
      <c r="I71" s="293"/>
      <c r="J71" s="330"/>
      <c r="K71" s="50">
        <v>3677</v>
      </c>
      <c r="L71" s="51">
        <v>3677</v>
      </c>
      <c r="M71" s="316">
        <f t="shared" si="10"/>
        <v>1</v>
      </c>
      <c r="N71" s="292"/>
      <c r="O71" s="293"/>
      <c r="P71" s="310"/>
    </row>
    <row r="72" spans="1:16" ht="20.25">
      <c r="A72" s="66"/>
      <c r="B72" s="45"/>
      <c r="C72" s="114">
        <v>4300</v>
      </c>
      <c r="D72" s="87" t="s">
        <v>45</v>
      </c>
      <c r="E72" s="51">
        <v>4000</v>
      </c>
      <c r="F72" s="51">
        <v>4000</v>
      </c>
      <c r="G72" s="276">
        <f t="shared" si="9"/>
        <v>1</v>
      </c>
      <c r="H72" s="324"/>
      <c r="I72" s="293"/>
      <c r="J72" s="330"/>
      <c r="K72" s="50">
        <v>4000</v>
      </c>
      <c r="L72" s="51">
        <v>4000</v>
      </c>
      <c r="M72" s="316">
        <f t="shared" si="10"/>
        <v>1</v>
      </c>
      <c r="N72" s="292"/>
      <c r="O72" s="293"/>
      <c r="P72" s="310"/>
    </row>
    <row r="73" spans="1:16" ht="40.5">
      <c r="A73" s="66"/>
      <c r="B73" s="45"/>
      <c r="C73" s="114">
        <v>4370</v>
      </c>
      <c r="D73" s="58" t="s">
        <v>187</v>
      </c>
      <c r="E73" s="71">
        <v>1500</v>
      </c>
      <c r="F73" s="71">
        <v>1500</v>
      </c>
      <c r="G73" s="276">
        <f t="shared" si="9"/>
        <v>1</v>
      </c>
      <c r="H73" s="324"/>
      <c r="I73" s="324"/>
      <c r="J73" s="330"/>
      <c r="K73" s="50">
        <v>1500</v>
      </c>
      <c r="L73" s="71">
        <v>1500</v>
      </c>
      <c r="M73" s="316">
        <f t="shared" si="10"/>
        <v>1</v>
      </c>
      <c r="N73" s="292"/>
      <c r="O73" s="293"/>
      <c r="P73" s="310"/>
    </row>
    <row r="74" spans="1:16" ht="20.25">
      <c r="A74" s="66"/>
      <c r="B74" s="45"/>
      <c r="C74" s="114">
        <v>4410</v>
      </c>
      <c r="D74" s="87" t="s">
        <v>56</v>
      </c>
      <c r="E74" s="71">
        <v>196.34</v>
      </c>
      <c r="F74" s="71">
        <v>196.34</v>
      </c>
      <c r="G74" s="276">
        <f t="shared" si="9"/>
        <v>1</v>
      </c>
      <c r="H74" s="324"/>
      <c r="I74" s="324"/>
      <c r="J74" s="330"/>
      <c r="K74" s="50">
        <v>196.34</v>
      </c>
      <c r="L74" s="71">
        <v>196.34</v>
      </c>
      <c r="M74" s="316">
        <f t="shared" si="10"/>
        <v>1</v>
      </c>
      <c r="N74" s="292"/>
      <c r="O74" s="293"/>
      <c r="P74" s="310"/>
    </row>
    <row r="75" spans="1:16" ht="40.5">
      <c r="A75" s="66" t="s">
        <v>168</v>
      </c>
      <c r="B75" s="45"/>
      <c r="C75" s="114">
        <v>4700</v>
      </c>
      <c r="D75" s="58" t="s">
        <v>188</v>
      </c>
      <c r="E75" s="71">
        <v>480.99</v>
      </c>
      <c r="F75" s="71">
        <v>480.99</v>
      </c>
      <c r="G75" s="276">
        <f t="shared" si="9"/>
        <v>1</v>
      </c>
      <c r="H75" s="324"/>
      <c r="I75" s="324"/>
      <c r="J75" s="330"/>
      <c r="K75" s="50">
        <v>480.99</v>
      </c>
      <c r="L75" s="71">
        <v>480.99</v>
      </c>
      <c r="M75" s="316">
        <f t="shared" si="10"/>
        <v>1</v>
      </c>
      <c r="N75" s="292"/>
      <c r="O75" s="293"/>
      <c r="P75" s="310"/>
    </row>
    <row r="76" spans="1:16" ht="40.5">
      <c r="A76" s="66"/>
      <c r="B76" s="45"/>
      <c r="C76" s="114">
        <v>4750</v>
      </c>
      <c r="D76" s="58" t="s">
        <v>183</v>
      </c>
      <c r="E76" s="71">
        <v>2500</v>
      </c>
      <c r="F76" s="71">
        <v>2500</v>
      </c>
      <c r="G76" s="276">
        <f t="shared" si="9"/>
        <v>1</v>
      </c>
      <c r="H76" s="324"/>
      <c r="I76" s="324"/>
      <c r="J76" s="330"/>
      <c r="K76" s="352">
        <v>2500</v>
      </c>
      <c r="L76" s="71">
        <v>2500</v>
      </c>
      <c r="M76" s="316">
        <f>L76/K76</f>
        <v>1</v>
      </c>
      <c r="N76" s="292"/>
      <c r="O76" s="293"/>
      <c r="P76" s="310"/>
    </row>
    <row r="77" spans="1:16" ht="20.25">
      <c r="A77" s="66"/>
      <c r="B77" s="78">
        <v>75022</v>
      </c>
      <c r="C77" s="116"/>
      <c r="D77" s="78" t="s">
        <v>57</v>
      </c>
      <c r="E77" s="95">
        <f>SUM(E78:E83)</f>
        <v>83300</v>
      </c>
      <c r="F77" s="95">
        <f>SUM(F78:F83)</f>
        <v>75504.70999999999</v>
      </c>
      <c r="G77" s="287">
        <f aca="true" t="shared" si="11" ref="G77:G85">F77/E77</f>
        <v>0.906419087635054</v>
      </c>
      <c r="H77" s="95">
        <f>SUM(H78:H83)</f>
        <v>83300</v>
      </c>
      <c r="I77" s="95">
        <f>SUM(I78:I83)</f>
        <v>75504.70999999999</v>
      </c>
      <c r="J77" s="81">
        <f aca="true" t="shared" si="12" ref="J77:J85">I77/H77</f>
        <v>0.906419087635054</v>
      </c>
      <c r="K77" s="289"/>
      <c r="L77" s="79"/>
      <c r="M77" s="290"/>
      <c r="N77" s="289"/>
      <c r="O77" s="79"/>
      <c r="P77" s="125"/>
    </row>
    <row r="78" spans="1:16" ht="20.25">
      <c r="A78" s="66"/>
      <c r="B78" s="45"/>
      <c r="C78" s="114">
        <v>3030</v>
      </c>
      <c r="D78" s="87" t="s">
        <v>58</v>
      </c>
      <c r="E78" s="51">
        <v>77500</v>
      </c>
      <c r="F78" s="324">
        <v>70714</v>
      </c>
      <c r="G78" s="276">
        <f t="shared" si="11"/>
        <v>0.9124387096774194</v>
      </c>
      <c r="H78" s="51">
        <v>77500</v>
      </c>
      <c r="I78" s="324">
        <v>70714</v>
      </c>
      <c r="J78" s="105">
        <f t="shared" si="12"/>
        <v>0.9124387096774194</v>
      </c>
      <c r="K78" s="292"/>
      <c r="L78" s="293"/>
      <c r="M78" s="316"/>
      <c r="N78" s="292"/>
      <c r="O78" s="293"/>
      <c r="P78" s="310"/>
    </row>
    <row r="79" spans="1:16" ht="20.25">
      <c r="A79" s="66"/>
      <c r="B79" s="45"/>
      <c r="C79" s="114">
        <v>4210</v>
      </c>
      <c r="D79" s="87" t="s">
        <v>43</v>
      </c>
      <c r="E79" s="51">
        <v>2600</v>
      </c>
      <c r="F79" s="324">
        <v>2515.78</v>
      </c>
      <c r="G79" s="276">
        <f t="shared" si="11"/>
        <v>0.9676076923076924</v>
      </c>
      <c r="H79" s="51">
        <v>2600</v>
      </c>
      <c r="I79" s="324">
        <v>2515.78</v>
      </c>
      <c r="J79" s="105">
        <f t="shared" si="12"/>
        <v>0.9676076923076924</v>
      </c>
      <c r="K79" s="292"/>
      <c r="L79" s="293"/>
      <c r="M79" s="316"/>
      <c r="N79" s="292"/>
      <c r="O79" s="293"/>
      <c r="P79" s="310"/>
    </row>
    <row r="80" spans="1:16" ht="20.25">
      <c r="A80" s="66"/>
      <c r="B80" s="45"/>
      <c r="C80" s="114">
        <v>4300</v>
      </c>
      <c r="D80" s="87" t="s">
        <v>45</v>
      </c>
      <c r="E80" s="51">
        <v>1200</v>
      </c>
      <c r="F80" s="324">
        <v>1193</v>
      </c>
      <c r="G80" s="276">
        <f t="shared" si="11"/>
        <v>0.9941666666666666</v>
      </c>
      <c r="H80" s="51">
        <v>1200</v>
      </c>
      <c r="I80" s="324">
        <v>1193</v>
      </c>
      <c r="J80" s="105">
        <f t="shared" si="12"/>
        <v>0.9941666666666666</v>
      </c>
      <c r="K80" s="292"/>
      <c r="L80" s="293"/>
      <c r="M80" s="316"/>
      <c r="N80" s="292"/>
      <c r="O80" s="293"/>
      <c r="P80" s="310"/>
    </row>
    <row r="81" spans="1:16" ht="20.25">
      <c r="A81" s="66"/>
      <c r="B81" s="45"/>
      <c r="C81" s="114">
        <v>4410</v>
      </c>
      <c r="D81" s="87" t="s">
        <v>56</v>
      </c>
      <c r="E81" s="51">
        <v>600</v>
      </c>
      <c r="F81" s="324">
        <v>230.67</v>
      </c>
      <c r="G81" s="276">
        <f t="shared" si="11"/>
        <v>0.38444999999999996</v>
      </c>
      <c r="H81" s="51">
        <v>600</v>
      </c>
      <c r="I81" s="324">
        <v>230.67</v>
      </c>
      <c r="J81" s="105">
        <f t="shared" si="12"/>
        <v>0.38444999999999996</v>
      </c>
      <c r="K81" s="292"/>
      <c r="L81" s="293"/>
      <c r="M81" s="316"/>
      <c r="N81" s="292"/>
      <c r="O81" s="293"/>
      <c r="P81" s="310"/>
    </row>
    <row r="82" spans="1:16" ht="40.5">
      <c r="A82" s="66"/>
      <c r="B82" s="45"/>
      <c r="C82" s="114">
        <v>4740</v>
      </c>
      <c r="D82" s="58" t="s">
        <v>182</v>
      </c>
      <c r="E82" s="51">
        <v>1000</v>
      </c>
      <c r="F82" s="324">
        <v>836.62</v>
      </c>
      <c r="G82" s="276">
        <f t="shared" si="11"/>
        <v>0.83662</v>
      </c>
      <c r="H82" s="51">
        <v>1000</v>
      </c>
      <c r="I82" s="324">
        <v>836.62</v>
      </c>
      <c r="J82" s="105">
        <f t="shared" si="12"/>
        <v>0.83662</v>
      </c>
      <c r="K82" s="292"/>
      <c r="L82" s="293"/>
      <c r="M82" s="316"/>
      <c r="N82" s="292"/>
      <c r="O82" s="293"/>
      <c r="P82" s="310"/>
    </row>
    <row r="83" spans="1:16" ht="40.5">
      <c r="A83" s="317"/>
      <c r="B83" s="211"/>
      <c r="C83" s="354">
        <v>4750</v>
      </c>
      <c r="D83" s="218" t="s">
        <v>183</v>
      </c>
      <c r="E83" s="213">
        <v>400</v>
      </c>
      <c r="F83" s="361">
        <v>14.64</v>
      </c>
      <c r="G83" s="355">
        <f t="shared" si="11"/>
        <v>0.0366</v>
      </c>
      <c r="H83" s="213">
        <v>400</v>
      </c>
      <c r="I83" s="361">
        <v>14.64</v>
      </c>
      <c r="J83" s="356">
        <f t="shared" si="12"/>
        <v>0.0366</v>
      </c>
      <c r="K83" s="357"/>
      <c r="L83" s="358"/>
      <c r="M83" s="359"/>
      <c r="N83" s="357"/>
      <c r="O83" s="358"/>
      <c r="P83" s="360"/>
    </row>
    <row r="84" spans="1:16" ht="19.5" customHeight="1" thickBot="1">
      <c r="A84" s="253">
        <v>1</v>
      </c>
      <c r="B84" s="253">
        <v>2</v>
      </c>
      <c r="C84" s="253">
        <v>3</v>
      </c>
      <c r="D84" s="253">
        <v>4</v>
      </c>
      <c r="E84" s="254">
        <v>5</v>
      </c>
      <c r="F84" s="254">
        <v>6</v>
      </c>
      <c r="G84" s="255">
        <v>7</v>
      </c>
      <c r="H84" s="256">
        <v>8</v>
      </c>
      <c r="I84" s="254">
        <v>9</v>
      </c>
      <c r="J84" s="257">
        <v>10</v>
      </c>
      <c r="K84" s="258">
        <v>11</v>
      </c>
      <c r="L84" s="259">
        <v>12</v>
      </c>
      <c r="M84" s="255">
        <v>13</v>
      </c>
      <c r="N84" s="260">
        <v>14</v>
      </c>
      <c r="O84" s="261">
        <v>15</v>
      </c>
      <c r="P84" s="261">
        <v>16</v>
      </c>
    </row>
    <row r="85" spans="1:16" ht="21" thickTop="1">
      <c r="A85" s="66"/>
      <c r="B85" s="78">
        <v>75023</v>
      </c>
      <c r="C85" s="116"/>
      <c r="D85" s="78" t="s">
        <v>59</v>
      </c>
      <c r="E85" s="79">
        <f>SUM(E86:E109)</f>
        <v>1243496</v>
      </c>
      <c r="F85" s="79">
        <f>SUM(F86:F109)</f>
        <v>1222082.1199999999</v>
      </c>
      <c r="G85" s="287">
        <f t="shared" si="11"/>
        <v>0.9827792932184742</v>
      </c>
      <c r="H85" s="79">
        <f>SUM(H86:H109)</f>
        <v>1243496</v>
      </c>
      <c r="I85" s="79">
        <f>SUM(I86:I109)</f>
        <v>1222082.1199999999</v>
      </c>
      <c r="J85" s="81">
        <f t="shared" si="12"/>
        <v>0.9827792932184742</v>
      </c>
      <c r="K85" s="289"/>
      <c r="L85" s="79"/>
      <c r="M85" s="290"/>
      <c r="N85" s="289"/>
      <c r="O85" s="79"/>
      <c r="P85" s="125"/>
    </row>
    <row r="86" spans="1:16" ht="20.25">
      <c r="A86" s="66"/>
      <c r="B86" s="45"/>
      <c r="C86" s="114">
        <v>3020</v>
      </c>
      <c r="D86" s="58" t="s">
        <v>128</v>
      </c>
      <c r="E86" s="51">
        <v>1300</v>
      </c>
      <c r="F86" s="324">
        <v>1138</v>
      </c>
      <c r="G86" s="276">
        <f aca="true" t="shared" si="13" ref="G86:G101">F86/E86</f>
        <v>0.8753846153846154</v>
      </c>
      <c r="H86" s="51">
        <v>1300</v>
      </c>
      <c r="I86" s="324">
        <v>1138</v>
      </c>
      <c r="J86" s="105">
        <f aca="true" t="shared" si="14" ref="J86:J97">I86/H86</f>
        <v>0.8753846153846154</v>
      </c>
      <c r="K86" s="292"/>
      <c r="L86" s="293"/>
      <c r="M86" s="316"/>
      <c r="N86" s="292"/>
      <c r="O86" s="293"/>
      <c r="P86" s="310"/>
    </row>
    <row r="87" spans="1:16" ht="20.25">
      <c r="A87" s="66"/>
      <c r="B87" s="45"/>
      <c r="C87" s="114">
        <v>4010</v>
      </c>
      <c r="D87" s="87" t="s">
        <v>48</v>
      </c>
      <c r="E87" s="51">
        <v>665430</v>
      </c>
      <c r="F87" s="324">
        <v>656576.49</v>
      </c>
      <c r="G87" s="276">
        <f t="shared" si="13"/>
        <v>0.9866950543257743</v>
      </c>
      <c r="H87" s="51">
        <v>665430</v>
      </c>
      <c r="I87" s="324">
        <v>656576.49</v>
      </c>
      <c r="J87" s="105">
        <f t="shared" si="14"/>
        <v>0.9866950543257743</v>
      </c>
      <c r="K87" s="292"/>
      <c r="L87" s="293"/>
      <c r="M87" s="316"/>
      <c r="N87" s="292"/>
      <c r="O87" s="293"/>
      <c r="P87" s="310"/>
    </row>
    <row r="88" spans="1:16" ht="20.25">
      <c r="A88" s="66"/>
      <c r="B88" s="45"/>
      <c r="C88" s="114">
        <v>4040</v>
      </c>
      <c r="D88" s="87" t="s">
        <v>49</v>
      </c>
      <c r="E88" s="51">
        <v>45400</v>
      </c>
      <c r="F88" s="324">
        <v>45248.24</v>
      </c>
      <c r="G88" s="276">
        <f t="shared" si="13"/>
        <v>0.996657268722467</v>
      </c>
      <c r="H88" s="51">
        <v>45400</v>
      </c>
      <c r="I88" s="324">
        <v>45248.24</v>
      </c>
      <c r="J88" s="105">
        <f t="shared" si="14"/>
        <v>0.996657268722467</v>
      </c>
      <c r="K88" s="292"/>
      <c r="L88" s="293"/>
      <c r="M88" s="316"/>
      <c r="N88" s="292"/>
      <c r="O88" s="293"/>
      <c r="P88" s="310"/>
    </row>
    <row r="89" spans="1:16" ht="20.25">
      <c r="A89" s="66"/>
      <c r="B89" s="45"/>
      <c r="C89" s="114">
        <v>4110</v>
      </c>
      <c r="D89" s="87" t="s">
        <v>50</v>
      </c>
      <c r="E89" s="51">
        <v>121200</v>
      </c>
      <c r="F89" s="324">
        <v>119137.47</v>
      </c>
      <c r="G89" s="276">
        <f t="shared" si="13"/>
        <v>0.9829824257425742</v>
      </c>
      <c r="H89" s="51">
        <v>121200</v>
      </c>
      <c r="I89" s="324">
        <v>119137.47</v>
      </c>
      <c r="J89" s="105">
        <f t="shared" si="14"/>
        <v>0.9829824257425742</v>
      </c>
      <c r="K89" s="292"/>
      <c r="L89" s="293"/>
      <c r="M89" s="316"/>
      <c r="N89" s="292"/>
      <c r="O89" s="293"/>
      <c r="P89" s="310"/>
    </row>
    <row r="90" spans="1:16" ht="20.25">
      <c r="A90" s="66"/>
      <c r="B90" s="45"/>
      <c r="C90" s="114">
        <v>4120</v>
      </c>
      <c r="D90" s="87" t="s">
        <v>51</v>
      </c>
      <c r="E90" s="51">
        <v>17400</v>
      </c>
      <c r="F90" s="324">
        <v>17355.81</v>
      </c>
      <c r="G90" s="276">
        <f>F90/E90</f>
        <v>0.9974603448275863</v>
      </c>
      <c r="H90" s="51">
        <v>17400</v>
      </c>
      <c r="I90" s="324">
        <v>17355.81</v>
      </c>
      <c r="J90" s="105">
        <f>I90/H90</f>
        <v>0.9974603448275863</v>
      </c>
      <c r="K90" s="292"/>
      <c r="L90" s="293"/>
      <c r="M90" s="316"/>
      <c r="N90" s="292"/>
      <c r="O90" s="293"/>
      <c r="P90" s="310"/>
    </row>
    <row r="91" spans="1:16" ht="20.25">
      <c r="A91" s="66"/>
      <c r="B91" s="45"/>
      <c r="C91" s="114">
        <v>4140</v>
      </c>
      <c r="D91" s="87" t="s">
        <v>52</v>
      </c>
      <c r="E91" s="51">
        <v>15500</v>
      </c>
      <c r="F91" s="324">
        <v>15488.49</v>
      </c>
      <c r="G91" s="276">
        <f>F91/E91</f>
        <v>0.9992574193548387</v>
      </c>
      <c r="H91" s="51">
        <v>15500</v>
      </c>
      <c r="I91" s="324">
        <v>15488.49</v>
      </c>
      <c r="J91" s="105">
        <f>I91/H91</f>
        <v>0.9992574193548387</v>
      </c>
      <c r="K91" s="292"/>
      <c r="L91" s="293"/>
      <c r="M91" s="316"/>
      <c r="N91" s="292"/>
      <c r="O91" s="293"/>
      <c r="P91" s="310"/>
    </row>
    <row r="92" spans="1:16" ht="20.25">
      <c r="A92" s="66"/>
      <c r="B92" s="45"/>
      <c r="C92" s="114">
        <v>4170</v>
      </c>
      <c r="D92" s="87" t="s">
        <v>98</v>
      </c>
      <c r="E92" s="51">
        <v>14260</v>
      </c>
      <c r="F92" s="324">
        <v>14260</v>
      </c>
      <c r="G92" s="276">
        <f>F92/E92</f>
        <v>1</v>
      </c>
      <c r="H92" s="51">
        <v>14260</v>
      </c>
      <c r="I92" s="324">
        <v>14260</v>
      </c>
      <c r="J92" s="105">
        <f>I92/H92</f>
        <v>1</v>
      </c>
      <c r="K92" s="292"/>
      <c r="L92" s="293"/>
      <c r="M92" s="316"/>
      <c r="N92" s="292"/>
      <c r="O92" s="293"/>
      <c r="P92" s="310"/>
    </row>
    <row r="93" spans="1:16" ht="20.25">
      <c r="A93" s="66"/>
      <c r="B93" s="45"/>
      <c r="C93" s="114">
        <v>4210</v>
      </c>
      <c r="D93" s="87" t="s">
        <v>43</v>
      </c>
      <c r="E93" s="51">
        <v>48405</v>
      </c>
      <c r="F93" s="324">
        <v>48403.07</v>
      </c>
      <c r="G93" s="276">
        <f t="shared" si="13"/>
        <v>0.9999601280859415</v>
      </c>
      <c r="H93" s="51">
        <v>48405</v>
      </c>
      <c r="I93" s="324">
        <v>48403.07</v>
      </c>
      <c r="J93" s="105">
        <f t="shared" si="14"/>
        <v>0.9999601280859415</v>
      </c>
      <c r="K93" s="292"/>
      <c r="L93" s="293"/>
      <c r="M93" s="316"/>
      <c r="N93" s="292"/>
      <c r="O93" s="293"/>
      <c r="P93" s="310"/>
    </row>
    <row r="94" spans="1:16" ht="20.25">
      <c r="A94" s="66"/>
      <c r="B94" s="45"/>
      <c r="C94" s="114">
        <v>4260</v>
      </c>
      <c r="D94" s="87" t="s">
        <v>53</v>
      </c>
      <c r="E94" s="51">
        <v>45000</v>
      </c>
      <c r="F94" s="324">
        <v>41105.01</v>
      </c>
      <c r="G94" s="276">
        <f t="shared" si="13"/>
        <v>0.9134446666666667</v>
      </c>
      <c r="H94" s="51">
        <v>45000</v>
      </c>
      <c r="I94" s="324">
        <v>41105.01</v>
      </c>
      <c r="J94" s="105">
        <f t="shared" si="14"/>
        <v>0.9134446666666667</v>
      </c>
      <c r="K94" s="292"/>
      <c r="L94" s="293"/>
      <c r="M94" s="316"/>
      <c r="N94" s="292"/>
      <c r="O94" s="293"/>
      <c r="P94" s="310"/>
    </row>
    <row r="95" spans="1:16" ht="20.25">
      <c r="A95" s="66"/>
      <c r="B95" s="45"/>
      <c r="C95" s="114">
        <v>4270</v>
      </c>
      <c r="D95" s="87" t="s">
        <v>44</v>
      </c>
      <c r="E95" s="51">
        <v>4500</v>
      </c>
      <c r="F95" s="324">
        <v>4480.88</v>
      </c>
      <c r="G95" s="276">
        <f t="shared" si="13"/>
        <v>0.9957511111111111</v>
      </c>
      <c r="H95" s="51">
        <v>4500</v>
      </c>
      <c r="I95" s="324">
        <v>4480.88</v>
      </c>
      <c r="J95" s="105">
        <f t="shared" si="14"/>
        <v>0.9957511111111111</v>
      </c>
      <c r="K95" s="292"/>
      <c r="L95" s="293"/>
      <c r="M95" s="316"/>
      <c r="N95" s="292"/>
      <c r="O95" s="293"/>
      <c r="P95" s="310"/>
    </row>
    <row r="96" spans="1:16" ht="20.25">
      <c r="A96" s="66"/>
      <c r="B96" s="45"/>
      <c r="C96" s="114">
        <v>4280</v>
      </c>
      <c r="D96" s="87" t="s">
        <v>102</v>
      </c>
      <c r="E96" s="51">
        <v>590</v>
      </c>
      <c r="F96" s="324">
        <v>590</v>
      </c>
      <c r="G96" s="276">
        <f t="shared" si="13"/>
        <v>1</v>
      </c>
      <c r="H96" s="51">
        <v>590</v>
      </c>
      <c r="I96" s="324">
        <v>590</v>
      </c>
      <c r="J96" s="105">
        <f t="shared" si="14"/>
        <v>1</v>
      </c>
      <c r="K96" s="292"/>
      <c r="L96" s="293"/>
      <c r="M96" s="316"/>
      <c r="N96" s="292"/>
      <c r="O96" s="293"/>
      <c r="P96" s="310"/>
    </row>
    <row r="97" spans="1:16" ht="20.25">
      <c r="A97" s="66"/>
      <c r="B97" s="45"/>
      <c r="C97" s="114">
        <v>4300</v>
      </c>
      <c r="D97" s="87" t="s">
        <v>45</v>
      </c>
      <c r="E97" s="51">
        <v>121170</v>
      </c>
      <c r="F97" s="324">
        <v>120388.91</v>
      </c>
      <c r="G97" s="276">
        <f t="shared" si="13"/>
        <v>0.9935537674341834</v>
      </c>
      <c r="H97" s="51">
        <v>121170</v>
      </c>
      <c r="I97" s="324">
        <v>120388.91</v>
      </c>
      <c r="J97" s="105">
        <f t="shared" si="14"/>
        <v>0.9935537674341834</v>
      </c>
      <c r="K97" s="292"/>
      <c r="L97" s="293"/>
      <c r="M97" s="316"/>
      <c r="N97" s="292"/>
      <c r="O97" s="293"/>
      <c r="P97" s="310"/>
    </row>
    <row r="98" spans="1:16" ht="20.25">
      <c r="A98" s="66"/>
      <c r="B98" s="45"/>
      <c r="C98" s="114">
        <v>4350</v>
      </c>
      <c r="D98" s="87" t="s">
        <v>104</v>
      </c>
      <c r="E98" s="51">
        <v>3000</v>
      </c>
      <c r="F98" s="324">
        <v>2963.17</v>
      </c>
      <c r="G98" s="276">
        <f>F98/E98</f>
        <v>0.9877233333333334</v>
      </c>
      <c r="H98" s="51">
        <v>3000</v>
      </c>
      <c r="I98" s="324">
        <v>2963.17</v>
      </c>
      <c r="J98" s="105">
        <f>I98/H98</f>
        <v>0.9877233333333334</v>
      </c>
      <c r="K98" s="292"/>
      <c r="L98" s="293"/>
      <c r="M98" s="316"/>
      <c r="N98" s="292"/>
      <c r="O98" s="293"/>
      <c r="P98" s="310"/>
    </row>
    <row r="99" spans="1:16" ht="40.5">
      <c r="A99" s="66"/>
      <c r="B99" s="45"/>
      <c r="C99" s="114">
        <v>4360</v>
      </c>
      <c r="D99" s="58" t="s">
        <v>189</v>
      </c>
      <c r="E99" s="51">
        <v>1200</v>
      </c>
      <c r="F99" s="324">
        <v>750.3</v>
      </c>
      <c r="G99" s="276">
        <f>F99/E99</f>
        <v>0.62525</v>
      </c>
      <c r="H99" s="51">
        <v>1200</v>
      </c>
      <c r="I99" s="324">
        <v>750.3</v>
      </c>
      <c r="J99" s="105">
        <f aca="true" t="shared" si="15" ref="J99:J108">I99/H99</f>
        <v>0.62525</v>
      </c>
      <c r="K99" s="292"/>
      <c r="L99" s="293"/>
      <c r="M99" s="316"/>
      <c r="N99" s="292"/>
      <c r="O99" s="293"/>
      <c r="P99" s="310"/>
    </row>
    <row r="100" spans="1:16" ht="40.5">
      <c r="A100" s="66"/>
      <c r="B100" s="45"/>
      <c r="C100" s="114">
        <v>4370</v>
      </c>
      <c r="D100" s="58" t="s">
        <v>187</v>
      </c>
      <c r="E100" s="51">
        <v>13500</v>
      </c>
      <c r="F100" s="324">
        <v>11671.76</v>
      </c>
      <c r="G100" s="276">
        <f>F100/E100</f>
        <v>0.8645748148148148</v>
      </c>
      <c r="H100" s="51">
        <v>13500</v>
      </c>
      <c r="I100" s="324">
        <v>11671.76</v>
      </c>
      <c r="J100" s="105">
        <f t="shared" si="15"/>
        <v>0.8645748148148148</v>
      </c>
      <c r="K100" s="292"/>
      <c r="L100" s="293"/>
      <c r="M100" s="316"/>
      <c r="N100" s="292"/>
      <c r="O100" s="293"/>
      <c r="P100" s="310"/>
    </row>
    <row r="101" spans="1:16" ht="20.25">
      <c r="A101" s="66"/>
      <c r="B101" s="45"/>
      <c r="C101" s="114">
        <v>4410</v>
      </c>
      <c r="D101" s="87" t="s">
        <v>56</v>
      </c>
      <c r="E101" s="51">
        <v>9320</v>
      </c>
      <c r="F101" s="324">
        <v>9316.42</v>
      </c>
      <c r="G101" s="276">
        <f t="shared" si="13"/>
        <v>0.9996158798283262</v>
      </c>
      <c r="H101" s="51">
        <v>9320</v>
      </c>
      <c r="I101" s="324">
        <v>9316.42</v>
      </c>
      <c r="J101" s="105">
        <f t="shared" si="15"/>
        <v>0.9996158798283262</v>
      </c>
      <c r="K101" s="292"/>
      <c r="L101" s="293"/>
      <c r="M101" s="316"/>
      <c r="N101" s="292"/>
      <c r="O101" s="293"/>
      <c r="P101" s="310"/>
    </row>
    <row r="102" spans="1:16" ht="20.25">
      <c r="A102" s="66"/>
      <c r="B102" s="45"/>
      <c r="C102" s="114">
        <v>4430</v>
      </c>
      <c r="D102" s="87" t="s">
        <v>54</v>
      </c>
      <c r="E102" s="51">
        <v>1540</v>
      </c>
      <c r="F102" s="324">
        <v>1531.24</v>
      </c>
      <c r="G102" s="276">
        <f aca="true" t="shared" si="16" ref="G102:G119">F102/E102</f>
        <v>0.9943116883116884</v>
      </c>
      <c r="H102" s="51">
        <v>1540</v>
      </c>
      <c r="I102" s="324">
        <v>1531.24</v>
      </c>
      <c r="J102" s="105">
        <f t="shared" si="15"/>
        <v>0.9943116883116884</v>
      </c>
      <c r="K102" s="292"/>
      <c r="L102" s="293"/>
      <c r="M102" s="316"/>
      <c r="N102" s="292"/>
      <c r="O102" s="293"/>
      <c r="P102" s="310"/>
    </row>
    <row r="103" spans="1:16" ht="20.25">
      <c r="A103" s="66"/>
      <c r="B103" s="45"/>
      <c r="C103" s="114">
        <v>4440</v>
      </c>
      <c r="D103" s="87" t="s">
        <v>129</v>
      </c>
      <c r="E103" s="51">
        <v>16000</v>
      </c>
      <c r="F103" s="324">
        <v>16000</v>
      </c>
      <c r="G103" s="276">
        <f t="shared" si="16"/>
        <v>1</v>
      </c>
      <c r="H103" s="51">
        <v>16000</v>
      </c>
      <c r="I103" s="324">
        <v>16000</v>
      </c>
      <c r="J103" s="105">
        <f t="shared" si="15"/>
        <v>1</v>
      </c>
      <c r="K103" s="292"/>
      <c r="L103" s="293"/>
      <c r="M103" s="316"/>
      <c r="N103" s="292"/>
      <c r="O103" s="293"/>
      <c r="P103" s="310"/>
    </row>
    <row r="104" spans="1:16" ht="38.25" customHeight="1">
      <c r="A104" s="66"/>
      <c r="B104" s="45"/>
      <c r="C104" s="114">
        <v>4610</v>
      </c>
      <c r="D104" s="58" t="s">
        <v>186</v>
      </c>
      <c r="E104" s="51">
        <v>3415</v>
      </c>
      <c r="F104" s="324">
        <v>3407.98</v>
      </c>
      <c r="G104" s="276">
        <f t="shared" si="16"/>
        <v>0.9979443631039532</v>
      </c>
      <c r="H104" s="51">
        <v>3415</v>
      </c>
      <c r="I104" s="324">
        <v>3407.98</v>
      </c>
      <c r="J104" s="105">
        <f t="shared" si="15"/>
        <v>0.9979443631039532</v>
      </c>
      <c r="K104" s="292"/>
      <c r="L104" s="293"/>
      <c r="M104" s="316"/>
      <c r="N104" s="292"/>
      <c r="O104" s="293"/>
      <c r="P104" s="310"/>
    </row>
    <row r="105" spans="1:16" ht="40.5">
      <c r="A105" s="66"/>
      <c r="B105" s="45"/>
      <c r="C105" s="114">
        <v>4700</v>
      </c>
      <c r="D105" s="58" t="s">
        <v>190</v>
      </c>
      <c r="E105" s="51">
        <v>9000</v>
      </c>
      <c r="F105" s="324">
        <v>8961.79</v>
      </c>
      <c r="G105" s="276">
        <f t="shared" si="16"/>
        <v>0.9957544444444445</v>
      </c>
      <c r="H105" s="51">
        <v>9000</v>
      </c>
      <c r="I105" s="324">
        <v>8961.79</v>
      </c>
      <c r="J105" s="105">
        <f t="shared" si="15"/>
        <v>0.9957544444444445</v>
      </c>
      <c r="K105" s="292"/>
      <c r="L105" s="293"/>
      <c r="M105" s="316"/>
      <c r="N105" s="292"/>
      <c r="O105" s="293"/>
      <c r="P105" s="310"/>
    </row>
    <row r="106" spans="1:16" ht="40.5">
      <c r="A106" s="66"/>
      <c r="B106" s="45"/>
      <c r="C106" s="114">
        <v>4740</v>
      </c>
      <c r="D106" s="58" t="s">
        <v>182</v>
      </c>
      <c r="E106" s="51">
        <v>3000</v>
      </c>
      <c r="F106" s="324">
        <v>2548.33</v>
      </c>
      <c r="G106" s="276">
        <f t="shared" si="16"/>
        <v>0.8494433333333333</v>
      </c>
      <c r="H106" s="51">
        <v>3000</v>
      </c>
      <c r="I106" s="324">
        <v>2548.33</v>
      </c>
      <c r="J106" s="105">
        <f t="shared" si="15"/>
        <v>0.8494433333333333</v>
      </c>
      <c r="K106" s="292"/>
      <c r="L106" s="293"/>
      <c r="M106" s="316"/>
      <c r="N106" s="292"/>
      <c r="O106" s="293"/>
      <c r="P106" s="310"/>
    </row>
    <row r="107" spans="1:16" ht="40.5">
      <c r="A107" s="66"/>
      <c r="B107" s="45"/>
      <c r="C107" s="114">
        <v>4750</v>
      </c>
      <c r="D107" s="58" t="s">
        <v>183</v>
      </c>
      <c r="E107" s="51">
        <v>10366</v>
      </c>
      <c r="F107" s="324">
        <v>9869.56</v>
      </c>
      <c r="G107" s="276">
        <f t="shared" si="16"/>
        <v>0.9521088172872854</v>
      </c>
      <c r="H107" s="51">
        <v>10366</v>
      </c>
      <c r="I107" s="324">
        <v>9869.56</v>
      </c>
      <c r="J107" s="105">
        <f t="shared" si="15"/>
        <v>0.9521088172872854</v>
      </c>
      <c r="K107" s="292"/>
      <c r="L107" s="293"/>
      <c r="M107" s="316"/>
      <c r="N107" s="292"/>
      <c r="O107" s="293"/>
      <c r="P107" s="310"/>
    </row>
    <row r="108" spans="1:16" ht="20.25">
      <c r="A108" s="66"/>
      <c r="B108" s="45"/>
      <c r="C108" s="114">
        <v>6050</v>
      </c>
      <c r="D108" s="87" t="s">
        <v>73</v>
      </c>
      <c r="E108" s="51">
        <v>30000</v>
      </c>
      <c r="F108" s="324">
        <v>27889.2</v>
      </c>
      <c r="G108" s="276">
        <f t="shared" si="16"/>
        <v>0.92964</v>
      </c>
      <c r="H108" s="51">
        <v>30000</v>
      </c>
      <c r="I108" s="324">
        <v>27889.2</v>
      </c>
      <c r="J108" s="105">
        <f t="shared" si="15"/>
        <v>0.92964</v>
      </c>
      <c r="K108" s="292"/>
      <c r="L108" s="293"/>
      <c r="M108" s="316"/>
      <c r="N108" s="292"/>
      <c r="O108" s="293"/>
      <c r="P108" s="310"/>
    </row>
    <row r="109" spans="1:16" ht="40.5">
      <c r="A109" s="66"/>
      <c r="B109" s="45"/>
      <c r="C109" s="114">
        <v>6060</v>
      </c>
      <c r="D109" s="58" t="s">
        <v>108</v>
      </c>
      <c r="E109" s="51">
        <v>43000</v>
      </c>
      <c r="F109" s="324">
        <v>43000</v>
      </c>
      <c r="G109" s="276">
        <f>F109/E109</f>
        <v>1</v>
      </c>
      <c r="H109" s="51">
        <v>43000</v>
      </c>
      <c r="I109" s="324">
        <v>43000</v>
      </c>
      <c r="J109" s="105">
        <f>I109/H109</f>
        <v>1</v>
      </c>
      <c r="K109" s="292"/>
      <c r="L109" s="293"/>
      <c r="M109" s="316"/>
      <c r="N109" s="292"/>
      <c r="O109" s="293"/>
      <c r="P109" s="310"/>
    </row>
    <row r="110" spans="1:16" ht="20.25">
      <c r="A110" s="66"/>
      <c r="B110" s="78">
        <v>75075</v>
      </c>
      <c r="C110" s="116"/>
      <c r="D110" s="78" t="s">
        <v>99</v>
      </c>
      <c r="E110" s="79">
        <f>SUM(E111:E114)</f>
        <v>71280</v>
      </c>
      <c r="F110" s="79">
        <f>SUM(F111:F114)</f>
        <v>60444.65</v>
      </c>
      <c r="G110" s="287">
        <f t="shared" si="16"/>
        <v>0.8479889169472503</v>
      </c>
      <c r="H110" s="79">
        <f>SUM(H111:H114)</f>
        <v>71280</v>
      </c>
      <c r="I110" s="79">
        <f>SUM(I111:I114)</f>
        <v>60444.65</v>
      </c>
      <c r="J110" s="96">
        <f aca="true" t="shared" si="17" ref="J110:J119">I110/H110</f>
        <v>0.8479889169472503</v>
      </c>
      <c r="K110" s="289"/>
      <c r="L110" s="79"/>
      <c r="M110" s="290"/>
      <c r="N110" s="289"/>
      <c r="O110" s="79"/>
      <c r="P110" s="125"/>
    </row>
    <row r="111" spans="1:16" ht="20.25">
      <c r="A111" s="66"/>
      <c r="B111" s="45"/>
      <c r="C111" s="114">
        <v>4170</v>
      </c>
      <c r="D111" s="87" t="s">
        <v>98</v>
      </c>
      <c r="E111" s="51">
        <v>400</v>
      </c>
      <c r="F111" s="71">
        <v>360</v>
      </c>
      <c r="G111" s="263">
        <f t="shared" si="16"/>
        <v>0.9</v>
      </c>
      <c r="H111" s="51">
        <v>400</v>
      </c>
      <c r="I111" s="71">
        <v>360</v>
      </c>
      <c r="J111" s="102">
        <f t="shared" si="17"/>
        <v>0.9</v>
      </c>
      <c r="K111" s="265"/>
      <c r="L111" s="67"/>
      <c r="M111" s="266"/>
      <c r="N111" s="265"/>
      <c r="O111" s="67"/>
      <c r="P111" s="69"/>
    </row>
    <row r="112" spans="1:16" ht="20.25">
      <c r="A112" s="66"/>
      <c r="B112" s="45"/>
      <c r="C112" s="114">
        <v>4210</v>
      </c>
      <c r="D112" s="87" t="s">
        <v>43</v>
      </c>
      <c r="E112" s="51">
        <v>22780</v>
      </c>
      <c r="F112" s="324">
        <v>22276.95</v>
      </c>
      <c r="G112" s="263">
        <f t="shared" si="16"/>
        <v>0.9779170324846357</v>
      </c>
      <c r="H112" s="51">
        <v>22780</v>
      </c>
      <c r="I112" s="324">
        <v>22276.95</v>
      </c>
      <c r="J112" s="102">
        <f t="shared" si="17"/>
        <v>0.9779170324846357</v>
      </c>
      <c r="K112" s="292"/>
      <c r="L112" s="293"/>
      <c r="M112" s="316"/>
      <c r="N112" s="292"/>
      <c r="O112" s="293"/>
      <c r="P112" s="310"/>
    </row>
    <row r="113" spans="1:16" ht="20.25">
      <c r="A113" s="66"/>
      <c r="B113" s="45"/>
      <c r="C113" s="114">
        <v>4300</v>
      </c>
      <c r="D113" s="87" t="s">
        <v>45</v>
      </c>
      <c r="E113" s="51">
        <v>38100</v>
      </c>
      <c r="F113" s="324">
        <v>27807.7</v>
      </c>
      <c r="G113" s="276">
        <f t="shared" si="16"/>
        <v>0.7298608923884514</v>
      </c>
      <c r="H113" s="51">
        <v>38100</v>
      </c>
      <c r="I113" s="324">
        <v>27807.7</v>
      </c>
      <c r="J113" s="52">
        <f t="shared" si="17"/>
        <v>0.7298608923884514</v>
      </c>
      <c r="K113" s="292"/>
      <c r="L113" s="293"/>
      <c r="M113" s="316"/>
      <c r="N113" s="292"/>
      <c r="O113" s="293"/>
      <c r="P113" s="310"/>
    </row>
    <row r="114" spans="1:16" ht="42.75" customHeight="1">
      <c r="A114" s="66"/>
      <c r="B114" s="45"/>
      <c r="C114" s="114">
        <v>6060</v>
      </c>
      <c r="D114" s="58" t="s">
        <v>108</v>
      </c>
      <c r="E114" s="51">
        <v>10000</v>
      </c>
      <c r="F114" s="324">
        <v>10000</v>
      </c>
      <c r="G114" s="276">
        <f t="shared" si="16"/>
        <v>1</v>
      </c>
      <c r="H114" s="51">
        <v>10000</v>
      </c>
      <c r="I114" s="324">
        <v>10000</v>
      </c>
      <c r="J114" s="105">
        <f t="shared" si="17"/>
        <v>1</v>
      </c>
      <c r="K114" s="292"/>
      <c r="L114" s="293"/>
      <c r="M114" s="316"/>
      <c r="N114" s="292"/>
      <c r="O114" s="293"/>
      <c r="P114" s="310"/>
    </row>
    <row r="115" spans="1:16" ht="20.25">
      <c r="A115" s="66"/>
      <c r="B115" s="78">
        <v>75095</v>
      </c>
      <c r="C115" s="116"/>
      <c r="D115" s="78" t="s">
        <v>4</v>
      </c>
      <c r="E115" s="79">
        <f>SUM(E116:E119)</f>
        <v>41580</v>
      </c>
      <c r="F115" s="79">
        <f>SUM(F116:F119)</f>
        <v>22705.86</v>
      </c>
      <c r="G115" s="287">
        <f t="shared" si="16"/>
        <v>0.546076479076479</v>
      </c>
      <c r="H115" s="79">
        <f>SUM(H116:H119)</f>
        <v>41580</v>
      </c>
      <c r="I115" s="79">
        <f>SUM(I116:I119)</f>
        <v>22705.86</v>
      </c>
      <c r="J115" s="81">
        <f t="shared" si="17"/>
        <v>0.546076479076479</v>
      </c>
      <c r="K115" s="289"/>
      <c r="L115" s="79"/>
      <c r="M115" s="290"/>
      <c r="N115" s="289"/>
      <c r="O115" s="79"/>
      <c r="P115" s="125"/>
    </row>
    <row r="116" spans="1:16" ht="20.25">
      <c r="A116" s="66"/>
      <c r="B116" s="45"/>
      <c r="C116" s="114">
        <v>3030</v>
      </c>
      <c r="D116" s="58" t="s">
        <v>128</v>
      </c>
      <c r="E116" s="51">
        <v>6580</v>
      </c>
      <c r="F116" s="324">
        <v>5037</v>
      </c>
      <c r="G116" s="276">
        <f t="shared" si="16"/>
        <v>0.7655015197568389</v>
      </c>
      <c r="H116" s="51">
        <v>6580</v>
      </c>
      <c r="I116" s="324">
        <v>5037</v>
      </c>
      <c r="J116" s="105">
        <f t="shared" si="17"/>
        <v>0.7655015197568389</v>
      </c>
      <c r="K116" s="292"/>
      <c r="L116" s="293"/>
      <c r="M116" s="316"/>
      <c r="N116" s="292"/>
      <c r="O116" s="293"/>
      <c r="P116" s="310"/>
    </row>
    <row r="117" spans="1:16" ht="20.25">
      <c r="A117" s="66"/>
      <c r="B117" s="45"/>
      <c r="C117" s="114">
        <v>4210</v>
      </c>
      <c r="D117" s="87" t="s">
        <v>43</v>
      </c>
      <c r="E117" s="51">
        <v>1000</v>
      </c>
      <c r="F117" s="324">
        <v>772.14</v>
      </c>
      <c r="G117" s="276">
        <f t="shared" si="16"/>
        <v>0.7721399999999999</v>
      </c>
      <c r="H117" s="51">
        <v>1000</v>
      </c>
      <c r="I117" s="324">
        <v>772.14</v>
      </c>
      <c r="J117" s="105">
        <f t="shared" si="17"/>
        <v>0.7721399999999999</v>
      </c>
      <c r="K117" s="292"/>
      <c r="L117" s="293"/>
      <c r="M117" s="316"/>
      <c r="N117" s="292"/>
      <c r="O117" s="293"/>
      <c r="P117" s="310"/>
    </row>
    <row r="118" spans="1:16" ht="20.25">
      <c r="A118" s="66"/>
      <c r="B118" s="45"/>
      <c r="C118" s="114">
        <v>4300</v>
      </c>
      <c r="D118" s="87" t="s">
        <v>45</v>
      </c>
      <c r="E118" s="51">
        <v>23000</v>
      </c>
      <c r="F118" s="324">
        <v>6340.28</v>
      </c>
      <c r="G118" s="276">
        <f t="shared" si="16"/>
        <v>0.27566434782608695</v>
      </c>
      <c r="H118" s="51">
        <v>23000</v>
      </c>
      <c r="I118" s="324">
        <v>6340.28</v>
      </c>
      <c r="J118" s="105">
        <f t="shared" si="17"/>
        <v>0.27566434782608695</v>
      </c>
      <c r="K118" s="292"/>
      <c r="L118" s="293"/>
      <c r="M118" s="316"/>
      <c r="N118" s="292"/>
      <c r="O118" s="293"/>
      <c r="P118" s="310"/>
    </row>
    <row r="119" spans="1:16" ht="21" thickBot="1">
      <c r="A119" s="66"/>
      <c r="B119" s="45"/>
      <c r="C119" s="114">
        <v>4430</v>
      </c>
      <c r="D119" s="87" t="s">
        <v>54</v>
      </c>
      <c r="E119" s="51">
        <v>11000</v>
      </c>
      <c r="F119" s="324">
        <v>10556.44</v>
      </c>
      <c r="G119" s="276">
        <f t="shared" si="16"/>
        <v>0.9596763636363637</v>
      </c>
      <c r="H119" s="51">
        <v>11000</v>
      </c>
      <c r="I119" s="324">
        <v>10556.44</v>
      </c>
      <c r="J119" s="105">
        <f t="shared" si="17"/>
        <v>0.9596763636363637</v>
      </c>
      <c r="K119" s="292"/>
      <c r="L119" s="293"/>
      <c r="M119" s="316"/>
      <c r="N119" s="292"/>
      <c r="O119" s="293"/>
      <c r="P119" s="310"/>
    </row>
    <row r="120" spans="1:16" s="195" customFormat="1" ht="61.5" thickBot="1">
      <c r="A120" s="398">
        <v>751</v>
      </c>
      <c r="B120" s="113"/>
      <c r="C120" s="113"/>
      <c r="D120" s="113" t="s">
        <v>111</v>
      </c>
      <c r="E120" s="168">
        <f>E121+E139+E128</f>
        <v>18366.999999999996</v>
      </c>
      <c r="F120" s="168">
        <f>F121+F139+F128</f>
        <v>16756.999999999996</v>
      </c>
      <c r="G120" s="399">
        <f>F120/E120</f>
        <v>0.9123427886971198</v>
      </c>
      <c r="H120" s="168"/>
      <c r="I120" s="168"/>
      <c r="J120" s="198"/>
      <c r="K120" s="193">
        <f>K121+K139+K128</f>
        <v>18366.999999999996</v>
      </c>
      <c r="L120" s="193">
        <f>L121+L139+L128</f>
        <v>16756.999999999996</v>
      </c>
      <c r="M120" s="413">
        <f>L120/K120</f>
        <v>0.9123427886971198</v>
      </c>
      <c r="N120" s="400"/>
      <c r="O120" s="168"/>
      <c r="P120" s="194"/>
    </row>
    <row r="121" spans="1:16" ht="40.5">
      <c r="A121" s="49"/>
      <c r="B121" s="114">
        <v>75101</v>
      </c>
      <c r="C121" s="114"/>
      <c r="D121" s="30" t="s">
        <v>130</v>
      </c>
      <c r="E121" s="67">
        <f>E122+E123+E124+E125+E127</f>
        <v>972</v>
      </c>
      <c r="F121" s="67">
        <f>F122+F123+F124+F125+F127</f>
        <v>972</v>
      </c>
      <c r="G121" s="263">
        <f>F121/E121</f>
        <v>1</v>
      </c>
      <c r="H121" s="109"/>
      <c r="I121" s="67"/>
      <c r="J121" s="331"/>
      <c r="K121" s="109">
        <f>K122+K123+K124+K125+K127</f>
        <v>972</v>
      </c>
      <c r="L121" s="109">
        <f>L122+L123+L124+L125+L127</f>
        <v>972</v>
      </c>
      <c r="M121" s="266">
        <f>L121/K121</f>
        <v>1</v>
      </c>
      <c r="N121" s="265"/>
      <c r="O121" s="67"/>
      <c r="P121" s="69"/>
    </row>
    <row r="122" spans="1:16" ht="20.25">
      <c r="A122" s="49"/>
      <c r="B122" s="45"/>
      <c r="C122" s="114">
        <v>4110</v>
      </c>
      <c r="D122" s="87" t="s">
        <v>50</v>
      </c>
      <c r="E122" s="51">
        <v>68.76</v>
      </c>
      <c r="F122" s="51">
        <v>68.76</v>
      </c>
      <c r="G122" s="276">
        <f aca="true" t="shared" si="18" ref="G122:G156">F122/E122</f>
        <v>1</v>
      </c>
      <c r="H122" s="324"/>
      <c r="I122" s="293"/>
      <c r="J122" s="331"/>
      <c r="K122" s="51">
        <v>68.76</v>
      </c>
      <c r="L122" s="51">
        <v>68.76</v>
      </c>
      <c r="M122" s="332">
        <f aca="true" t="shared" si="19" ref="M122:M150">L122/K122</f>
        <v>1</v>
      </c>
      <c r="N122" s="292"/>
      <c r="O122" s="293"/>
      <c r="P122" s="310"/>
    </row>
    <row r="123" spans="1:16" ht="20.25">
      <c r="A123" s="66"/>
      <c r="B123" s="45"/>
      <c r="C123" s="114">
        <v>4120</v>
      </c>
      <c r="D123" s="87" t="s">
        <v>51</v>
      </c>
      <c r="E123" s="51">
        <v>9.8</v>
      </c>
      <c r="F123" s="51">
        <v>9.8</v>
      </c>
      <c r="G123" s="276">
        <f t="shared" si="18"/>
        <v>1</v>
      </c>
      <c r="H123" s="324"/>
      <c r="I123" s="293"/>
      <c r="J123" s="105"/>
      <c r="K123" s="51">
        <v>9.8</v>
      </c>
      <c r="L123" s="51">
        <v>9.8</v>
      </c>
      <c r="M123" s="332">
        <f t="shared" si="19"/>
        <v>1</v>
      </c>
      <c r="N123" s="292"/>
      <c r="O123" s="293"/>
      <c r="P123" s="310"/>
    </row>
    <row r="124" spans="1:16" ht="20.25">
      <c r="A124" s="333"/>
      <c r="B124" s="45"/>
      <c r="C124" s="114">
        <v>4170</v>
      </c>
      <c r="D124" s="87" t="s">
        <v>98</v>
      </c>
      <c r="E124" s="51">
        <v>400</v>
      </c>
      <c r="F124" s="51">
        <v>400</v>
      </c>
      <c r="G124" s="276">
        <f t="shared" si="18"/>
        <v>1</v>
      </c>
      <c r="H124" s="324"/>
      <c r="I124" s="293"/>
      <c r="J124" s="331"/>
      <c r="K124" s="51">
        <v>400</v>
      </c>
      <c r="L124" s="51">
        <v>400</v>
      </c>
      <c r="M124" s="332">
        <f t="shared" si="19"/>
        <v>1</v>
      </c>
      <c r="N124" s="292"/>
      <c r="O124" s="293"/>
      <c r="P124" s="310"/>
    </row>
    <row r="125" spans="1:16" ht="20.25">
      <c r="A125" s="362"/>
      <c r="B125" s="211"/>
      <c r="C125" s="354">
        <v>4210</v>
      </c>
      <c r="D125" s="212" t="s">
        <v>43</v>
      </c>
      <c r="E125" s="213">
        <v>193.44</v>
      </c>
      <c r="F125" s="213">
        <v>193.44</v>
      </c>
      <c r="G125" s="355">
        <f t="shared" si="18"/>
        <v>1</v>
      </c>
      <c r="H125" s="361"/>
      <c r="I125" s="358"/>
      <c r="J125" s="363"/>
      <c r="K125" s="213">
        <v>193.44</v>
      </c>
      <c r="L125" s="213">
        <v>193.44</v>
      </c>
      <c r="M125" s="364">
        <f t="shared" si="19"/>
        <v>1</v>
      </c>
      <c r="N125" s="357"/>
      <c r="O125" s="358"/>
      <c r="P125" s="360"/>
    </row>
    <row r="126" spans="1:16" ht="21" thickBot="1">
      <c r="A126" s="253">
        <v>1</v>
      </c>
      <c r="B126" s="253">
        <v>2</v>
      </c>
      <c r="C126" s="253">
        <v>3</v>
      </c>
      <c r="D126" s="253">
        <v>4</v>
      </c>
      <c r="E126" s="254">
        <v>5</v>
      </c>
      <c r="F126" s="254">
        <v>6</v>
      </c>
      <c r="G126" s="255">
        <v>7</v>
      </c>
      <c r="H126" s="256">
        <v>8</v>
      </c>
      <c r="I126" s="254">
        <v>9</v>
      </c>
      <c r="J126" s="257">
        <v>10</v>
      </c>
      <c r="K126" s="258">
        <v>11</v>
      </c>
      <c r="L126" s="259">
        <v>12</v>
      </c>
      <c r="M126" s="255">
        <v>13</v>
      </c>
      <c r="N126" s="260">
        <v>14</v>
      </c>
      <c r="O126" s="261">
        <v>15</v>
      </c>
      <c r="P126" s="261">
        <v>16</v>
      </c>
    </row>
    <row r="127" spans="1:16" ht="21" thickTop="1">
      <c r="A127" s="333"/>
      <c r="B127" s="45"/>
      <c r="C127" s="114">
        <v>4300</v>
      </c>
      <c r="D127" s="87" t="s">
        <v>45</v>
      </c>
      <c r="E127" s="51">
        <v>300</v>
      </c>
      <c r="F127" s="51">
        <v>300</v>
      </c>
      <c r="G127" s="276">
        <f t="shared" si="18"/>
        <v>1</v>
      </c>
      <c r="H127" s="324"/>
      <c r="I127" s="293"/>
      <c r="J127" s="331"/>
      <c r="K127" s="51">
        <v>300</v>
      </c>
      <c r="L127" s="51">
        <v>300</v>
      </c>
      <c r="M127" s="332">
        <f t="shared" si="19"/>
        <v>1</v>
      </c>
      <c r="N127" s="292"/>
      <c r="O127" s="293"/>
      <c r="P127" s="310"/>
    </row>
    <row r="128" spans="1:16" ht="20.25">
      <c r="A128" s="333"/>
      <c r="B128" s="116">
        <v>75108</v>
      </c>
      <c r="C128" s="116"/>
      <c r="D128" s="117" t="s">
        <v>171</v>
      </c>
      <c r="E128" s="79">
        <f>SUM(E129:E138)</f>
        <v>6969.999999999999</v>
      </c>
      <c r="F128" s="79">
        <f>SUM(F129:F138)</f>
        <v>6969.999999999999</v>
      </c>
      <c r="G128" s="287">
        <f aca="true" t="shared" si="20" ref="G128:G137">F128/E128</f>
        <v>1</v>
      </c>
      <c r="H128" s="335"/>
      <c r="I128" s="306"/>
      <c r="J128" s="336"/>
      <c r="K128" s="95">
        <f>SUM(K129:K138)</f>
        <v>6969.999999999999</v>
      </c>
      <c r="L128" s="95">
        <f>SUM(L129:L138)</f>
        <v>6969.999999999999</v>
      </c>
      <c r="M128" s="337">
        <f aca="true" t="shared" si="21" ref="M128:M137">L128/K128</f>
        <v>1</v>
      </c>
      <c r="N128" s="120"/>
      <c r="O128" s="306"/>
      <c r="P128" s="308"/>
    </row>
    <row r="129" spans="1:16" ht="20.25">
      <c r="A129" s="333"/>
      <c r="B129" s="45"/>
      <c r="C129" s="114">
        <v>3030</v>
      </c>
      <c r="D129" s="87" t="s">
        <v>58</v>
      </c>
      <c r="E129" s="51">
        <v>2970</v>
      </c>
      <c r="F129" s="51">
        <v>2970</v>
      </c>
      <c r="G129" s="276">
        <f t="shared" si="20"/>
        <v>1</v>
      </c>
      <c r="H129" s="324"/>
      <c r="I129" s="293"/>
      <c r="J129" s="331"/>
      <c r="K129" s="51">
        <v>2970</v>
      </c>
      <c r="L129" s="51">
        <v>2970</v>
      </c>
      <c r="M129" s="332">
        <f t="shared" si="21"/>
        <v>1</v>
      </c>
      <c r="N129" s="334"/>
      <c r="O129" s="293"/>
      <c r="P129" s="310"/>
    </row>
    <row r="130" spans="1:16" ht="20.25">
      <c r="A130" s="333"/>
      <c r="B130" s="45"/>
      <c r="C130" s="114">
        <v>4110</v>
      </c>
      <c r="D130" s="87" t="s">
        <v>50</v>
      </c>
      <c r="E130" s="51">
        <v>238.93</v>
      </c>
      <c r="F130" s="51">
        <v>238.93</v>
      </c>
      <c r="G130" s="276">
        <f t="shared" si="20"/>
        <v>1</v>
      </c>
      <c r="H130" s="324"/>
      <c r="I130" s="293"/>
      <c r="J130" s="331"/>
      <c r="K130" s="51">
        <v>238.93</v>
      </c>
      <c r="L130" s="51">
        <v>238.93</v>
      </c>
      <c r="M130" s="332">
        <f t="shared" si="21"/>
        <v>1</v>
      </c>
      <c r="N130" s="334"/>
      <c r="O130" s="293"/>
      <c r="P130" s="310"/>
    </row>
    <row r="131" spans="1:16" ht="20.25">
      <c r="A131" s="333"/>
      <c r="B131" s="45"/>
      <c r="C131" s="114">
        <v>4120</v>
      </c>
      <c r="D131" s="87" t="s">
        <v>51</v>
      </c>
      <c r="E131" s="51">
        <v>34.06</v>
      </c>
      <c r="F131" s="51">
        <v>34.06</v>
      </c>
      <c r="G131" s="276">
        <f t="shared" si="20"/>
        <v>1</v>
      </c>
      <c r="H131" s="324"/>
      <c r="I131" s="293"/>
      <c r="J131" s="331"/>
      <c r="K131" s="51">
        <v>34.06</v>
      </c>
      <c r="L131" s="51">
        <v>34.06</v>
      </c>
      <c r="M131" s="332">
        <f t="shared" si="21"/>
        <v>1</v>
      </c>
      <c r="N131" s="334"/>
      <c r="O131" s="293"/>
      <c r="P131" s="310"/>
    </row>
    <row r="132" spans="1:16" ht="18.75" customHeight="1">
      <c r="A132" s="333"/>
      <c r="B132" s="45"/>
      <c r="C132" s="114">
        <v>4170</v>
      </c>
      <c r="D132" s="87" t="s">
        <v>98</v>
      </c>
      <c r="E132" s="51">
        <v>1590</v>
      </c>
      <c r="F132" s="51">
        <v>1590</v>
      </c>
      <c r="G132" s="276">
        <f t="shared" si="20"/>
        <v>1</v>
      </c>
      <c r="H132" s="324"/>
      <c r="I132" s="293"/>
      <c r="J132" s="331"/>
      <c r="K132" s="51">
        <v>1590</v>
      </c>
      <c r="L132" s="51">
        <v>1590</v>
      </c>
      <c r="M132" s="332">
        <f t="shared" si="21"/>
        <v>1</v>
      </c>
      <c r="N132" s="334"/>
      <c r="O132" s="293"/>
      <c r="P132" s="310"/>
    </row>
    <row r="133" spans="1:16" ht="22.5" customHeight="1">
      <c r="A133" s="333"/>
      <c r="B133" s="45"/>
      <c r="C133" s="114">
        <v>4210</v>
      </c>
      <c r="D133" s="87" t="s">
        <v>43</v>
      </c>
      <c r="E133" s="51">
        <v>639.4</v>
      </c>
      <c r="F133" s="51">
        <v>639.4</v>
      </c>
      <c r="G133" s="276">
        <f t="shared" si="20"/>
        <v>1</v>
      </c>
      <c r="H133" s="324"/>
      <c r="I133" s="293"/>
      <c r="J133" s="331"/>
      <c r="K133" s="51">
        <v>639.4</v>
      </c>
      <c r="L133" s="51">
        <v>639.4</v>
      </c>
      <c r="M133" s="332">
        <f t="shared" si="21"/>
        <v>1</v>
      </c>
      <c r="N133" s="334"/>
      <c r="O133" s="293"/>
      <c r="P133" s="310"/>
    </row>
    <row r="134" spans="1:16" ht="21" customHeight="1">
      <c r="A134" s="333"/>
      <c r="B134" s="45"/>
      <c r="C134" s="114">
        <v>4300</v>
      </c>
      <c r="D134" s="87" t="s">
        <v>45</v>
      </c>
      <c r="E134" s="51">
        <v>21.5</v>
      </c>
      <c r="F134" s="51">
        <v>21.5</v>
      </c>
      <c r="G134" s="276">
        <f t="shared" si="20"/>
        <v>1</v>
      </c>
      <c r="H134" s="324"/>
      <c r="I134" s="293"/>
      <c r="J134" s="331"/>
      <c r="K134" s="51">
        <v>21.5</v>
      </c>
      <c r="L134" s="51">
        <v>21.5</v>
      </c>
      <c r="M134" s="332">
        <f t="shared" si="21"/>
        <v>1</v>
      </c>
      <c r="N134" s="334"/>
      <c r="O134" s="293"/>
      <c r="P134" s="310"/>
    </row>
    <row r="135" spans="1:16" ht="40.5">
      <c r="A135" s="333"/>
      <c r="B135" s="45"/>
      <c r="C135" s="114">
        <v>4370</v>
      </c>
      <c r="D135" s="58" t="s">
        <v>191</v>
      </c>
      <c r="E135" s="51">
        <v>381.68</v>
      </c>
      <c r="F135" s="51">
        <v>381.68</v>
      </c>
      <c r="G135" s="276">
        <f t="shared" si="20"/>
        <v>1</v>
      </c>
      <c r="H135" s="324"/>
      <c r="I135" s="293"/>
      <c r="J135" s="310"/>
      <c r="K135" s="51">
        <v>381.68</v>
      </c>
      <c r="L135" s="51">
        <v>381.68</v>
      </c>
      <c r="M135" s="332">
        <f t="shared" si="21"/>
        <v>1</v>
      </c>
      <c r="N135" s="334"/>
      <c r="O135" s="293"/>
      <c r="P135" s="310"/>
    </row>
    <row r="136" spans="1:16" ht="20.25">
      <c r="A136" s="333"/>
      <c r="B136" s="45"/>
      <c r="C136" s="114">
        <v>4410</v>
      </c>
      <c r="D136" s="87" t="s">
        <v>56</v>
      </c>
      <c r="E136" s="51">
        <v>364.04</v>
      </c>
      <c r="F136" s="51">
        <v>364.04</v>
      </c>
      <c r="G136" s="276">
        <f t="shared" si="20"/>
        <v>1</v>
      </c>
      <c r="H136" s="324"/>
      <c r="I136" s="293"/>
      <c r="J136" s="331"/>
      <c r="K136" s="51">
        <v>364.04</v>
      </c>
      <c r="L136" s="51">
        <v>364.04</v>
      </c>
      <c r="M136" s="332">
        <f t="shared" si="21"/>
        <v>1</v>
      </c>
      <c r="N136" s="334"/>
      <c r="O136" s="293"/>
      <c r="P136" s="310"/>
    </row>
    <row r="137" spans="1:16" ht="40.5">
      <c r="A137" s="333"/>
      <c r="B137" s="45"/>
      <c r="C137" s="114">
        <v>4740</v>
      </c>
      <c r="D137" s="58" t="s">
        <v>182</v>
      </c>
      <c r="E137" s="51">
        <v>40.69</v>
      </c>
      <c r="F137" s="51">
        <v>40.69</v>
      </c>
      <c r="G137" s="276">
        <f t="shared" si="20"/>
        <v>1</v>
      </c>
      <c r="H137" s="324"/>
      <c r="I137" s="293"/>
      <c r="J137" s="331"/>
      <c r="K137" s="51">
        <v>40.69</v>
      </c>
      <c r="L137" s="51">
        <v>40.69</v>
      </c>
      <c r="M137" s="332">
        <f t="shared" si="21"/>
        <v>1</v>
      </c>
      <c r="N137" s="334"/>
      <c r="O137" s="293"/>
      <c r="P137" s="310"/>
    </row>
    <row r="138" spans="1:16" ht="40.5">
      <c r="A138" s="333"/>
      <c r="B138" s="45"/>
      <c r="C138" s="114">
        <v>4750</v>
      </c>
      <c r="D138" s="58" t="s">
        <v>183</v>
      </c>
      <c r="E138" s="51">
        <v>689.7</v>
      </c>
      <c r="F138" s="51">
        <v>689.7</v>
      </c>
      <c r="G138" s="276">
        <f t="shared" si="18"/>
        <v>1</v>
      </c>
      <c r="H138" s="324"/>
      <c r="I138" s="293"/>
      <c r="J138" s="331"/>
      <c r="K138" s="51">
        <v>689.7</v>
      </c>
      <c r="L138" s="51">
        <v>689.7</v>
      </c>
      <c r="M138" s="332">
        <f t="shared" si="19"/>
        <v>1</v>
      </c>
      <c r="N138" s="292"/>
      <c r="O138" s="293"/>
      <c r="P138" s="310"/>
    </row>
    <row r="139" spans="1:16" ht="81">
      <c r="A139" s="333"/>
      <c r="B139" s="116">
        <v>75109</v>
      </c>
      <c r="C139" s="116"/>
      <c r="D139" s="117" t="s">
        <v>143</v>
      </c>
      <c r="E139" s="79">
        <f>SUM(E140:E150)</f>
        <v>10424.999999999998</v>
      </c>
      <c r="F139" s="95">
        <f>SUM(F140:F150)</f>
        <v>8814.999999999998</v>
      </c>
      <c r="G139" s="287">
        <f t="shared" si="18"/>
        <v>0.8455635491606714</v>
      </c>
      <c r="H139" s="335"/>
      <c r="I139" s="306"/>
      <c r="J139" s="336"/>
      <c r="K139" s="95">
        <f>SUM(K140:K150)</f>
        <v>10424.999999999998</v>
      </c>
      <c r="L139" s="95">
        <f>SUM(L140:L150)</f>
        <v>8814.999999999998</v>
      </c>
      <c r="M139" s="337">
        <f t="shared" si="19"/>
        <v>0.8455635491606714</v>
      </c>
      <c r="N139" s="120"/>
      <c r="O139" s="306"/>
      <c r="P139" s="308"/>
    </row>
    <row r="140" spans="1:16" ht="20.25">
      <c r="A140" s="333"/>
      <c r="B140" s="45"/>
      <c r="C140" s="114">
        <v>3030</v>
      </c>
      <c r="D140" s="87" t="s">
        <v>58</v>
      </c>
      <c r="E140" s="51">
        <v>6710</v>
      </c>
      <c r="F140" s="51">
        <v>5100</v>
      </c>
      <c r="G140" s="276">
        <f t="shared" si="18"/>
        <v>0.7600596125186289</v>
      </c>
      <c r="H140" s="324"/>
      <c r="I140" s="293"/>
      <c r="J140" s="331"/>
      <c r="K140" s="51">
        <v>6710</v>
      </c>
      <c r="L140" s="51">
        <v>5100</v>
      </c>
      <c r="M140" s="332">
        <f t="shared" si="19"/>
        <v>0.7600596125186289</v>
      </c>
      <c r="N140" s="334"/>
      <c r="O140" s="293"/>
      <c r="P140" s="310"/>
    </row>
    <row r="141" spans="1:16" ht="20.25">
      <c r="A141" s="333"/>
      <c r="B141" s="45"/>
      <c r="C141" s="114">
        <v>4110</v>
      </c>
      <c r="D141" s="87" t="s">
        <v>50</v>
      </c>
      <c r="E141" s="51">
        <v>136.66</v>
      </c>
      <c r="F141" s="51">
        <v>136.66</v>
      </c>
      <c r="G141" s="276">
        <f t="shared" si="18"/>
        <v>1</v>
      </c>
      <c r="H141" s="324"/>
      <c r="I141" s="293"/>
      <c r="J141" s="331"/>
      <c r="K141" s="51">
        <v>136.66</v>
      </c>
      <c r="L141" s="51">
        <v>136.66</v>
      </c>
      <c r="M141" s="332">
        <f t="shared" si="19"/>
        <v>1</v>
      </c>
      <c r="N141" s="334"/>
      <c r="O141" s="293"/>
      <c r="P141" s="310"/>
    </row>
    <row r="142" spans="1:16" ht="20.25">
      <c r="A142" s="333"/>
      <c r="B142" s="45"/>
      <c r="C142" s="114">
        <v>4120</v>
      </c>
      <c r="D142" s="87" t="s">
        <v>51</v>
      </c>
      <c r="E142" s="51">
        <v>19.48</v>
      </c>
      <c r="F142" s="51">
        <v>19.48</v>
      </c>
      <c r="G142" s="276">
        <f t="shared" si="18"/>
        <v>1</v>
      </c>
      <c r="H142" s="324"/>
      <c r="I142" s="293"/>
      <c r="J142" s="331"/>
      <c r="K142" s="51">
        <v>19.48</v>
      </c>
      <c r="L142" s="51">
        <v>19.48</v>
      </c>
      <c r="M142" s="332">
        <f t="shared" si="19"/>
        <v>1</v>
      </c>
      <c r="N142" s="334"/>
      <c r="O142" s="293"/>
      <c r="P142" s="310"/>
    </row>
    <row r="143" spans="1:16" ht="20.25">
      <c r="A143" s="333"/>
      <c r="B143" s="45"/>
      <c r="C143" s="114">
        <v>4170</v>
      </c>
      <c r="D143" s="87" t="s">
        <v>98</v>
      </c>
      <c r="E143" s="51">
        <v>1185</v>
      </c>
      <c r="F143" s="51">
        <v>1185</v>
      </c>
      <c r="G143" s="276">
        <f t="shared" si="18"/>
        <v>1</v>
      </c>
      <c r="H143" s="324"/>
      <c r="I143" s="293"/>
      <c r="J143" s="331"/>
      <c r="K143" s="51">
        <v>1185</v>
      </c>
      <c r="L143" s="51">
        <v>1185</v>
      </c>
      <c r="M143" s="332">
        <f t="shared" si="19"/>
        <v>1</v>
      </c>
      <c r="N143" s="334"/>
      <c r="O143" s="293"/>
      <c r="P143" s="310"/>
    </row>
    <row r="144" spans="1:16" ht="20.25">
      <c r="A144" s="333"/>
      <c r="B144" s="45"/>
      <c r="C144" s="114">
        <v>4210</v>
      </c>
      <c r="D144" s="87" t="s">
        <v>43</v>
      </c>
      <c r="E144" s="51">
        <v>632.85</v>
      </c>
      <c r="F144" s="51">
        <v>632.85</v>
      </c>
      <c r="G144" s="276">
        <f t="shared" si="18"/>
        <v>1</v>
      </c>
      <c r="H144" s="324"/>
      <c r="I144" s="293"/>
      <c r="J144" s="331"/>
      <c r="K144" s="51">
        <v>632.85</v>
      </c>
      <c r="L144" s="51">
        <v>632.85</v>
      </c>
      <c r="M144" s="332">
        <f t="shared" si="19"/>
        <v>1</v>
      </c>
      <c r="N144" s="334"/>
      <c r="O144" s="293"/>
      <c r="P144" s="310"/>
    </row>
    <row r="145" spans="1:16" ht="20.25">
      <c r="A145" s="333"/>
      <c r="B145" s="45"/>
      <c r="C145" s="114">
        <v>4260</v>
      </c>
      <c r="D145" s="87" t="s">
        <v>53</v>
      </c>
      <c r="E145" s="51">
        <v>66.88</v>
      </c>
      <c r="F145" s="51">
        <v>66.88</v>
      </c>
      <c r="G145" s="276">
        <f t="shared" si="18"/>
        <v>1</v>
      </c>
      <c r="H145" s="324"/>
      <c r="I145" s="293"/>
      <c r="J145" s="331"/>
      <c r="K145" s="51">
        <v>66.88</v>
      </c>
      <c r="L145" s="51">
        <v>66.88</v>
      </c>
      <c r="M145" s="332">
        <f t="shared" si="19"/>
        <v>1</v>
      </c>
      <c r="N145" s="334"/>
      <c r="O145" s="293"/>
      <c r="P145" s="310"/>
    </row>
    <row r="146" spans="1:16" ht="20.25">
      <c r="A146" s="333"/>
      <c r="B146" s="45"/>
      <c r="C146" s="114">
        <v>4300</v>
      </c>
      <c r="D146" s="87" t="s">
        <v>45</v>
      </c>
      <c r="E146" s="51">
        <v>500</v>
      </c>
      <c r="F146" s="51">
        <v>500</v>
      </c>
      <c r="G146" s="276">
        <f t="shared" si="18"/>
        <v>1</v>
      </c>
      <c r="H146" s="324"/>
      <c r="I146" s="293"/>
      <c r="J146" s="331"/>
      <c r="K146" s="51">
        <v>500</v>
      </c>
      <c r="L146" s="51">
        <v>500</v>
      </c>
      <c r="M146" s="332">
        <f t="shared" si="19"/>
        <v>1</v>
      </c>
      <c r="N146" s="334"/>
      <c r="O146" s="293"/>
      <c r="P146" s="310"/>
    </row>
    <row r="147" spans="1:16" ht="40.5">
      <c r="A147" s="333"/>
      <c r="B147" s="45"/>
      <c r="C147" s="114">
        <v>4370</v>
      </c>
      <c r="D147" s="58" t="s">
        <v>191</v>
      </c>
      <c r="E147" s="51">
        <v>82</v>
      </c>
      <c r="F147" s="51">
        <v>82</v>
      </c>
      <c r="G147" s="276">
        <f t="shared" si="18"/>
        <v>1</v>
      </c>
      <c r="H147" s="324"/>
      <c r="I147" s="293"/>
      <c r="J147" s="331"/>
      <c r="K147" s="51">
        <v>82</v>
      </c>
      <c r="L147" s="51">
        <v>82</v>
      </c>
      <c r="M147" s="332">
        <f t="shared" si="19"/>
        <v>1</v>
      </c>
      <c r="N147" s="334"/>
      <c r="O147" s="293"/>
      <c r="P147" s="310"/>
    </row>
    <row r="148" spans="1:16" ht="20.25">
      <c r="A148" s="333"/>
      <c r="B148" s="45"/>
      <c r="C148" s="114">
        <v>4410</v>
      </c>
      <c r="D148" s="87" t="s">
        <v>56</v>
      </c>
      <c r="E148" s="51">
        <v>105.69</v>
      </c>
      <c r="F148" s="51">
        <v>105.69</v>
      </c>
      <c r="G148" s="276">
        <f t="shared" si="18"/>
        <v>1</v>
      </c>
      <c r="H148" s="324"/>
      <c r="I148" s="293"/>
      <c r="J148" s="331"/>
      <c r="K148" s="51">
        <v>105.69</v>
      </c>
      <c r="L148" s="51">
        <v>105.69</v>
      </c>
      <c r="M148" s="332">
        <f t="shared" si="19"/>
        <v>1</v>
      </c>
      <c r="N148" s="334"/>
      <c r="O148" s="293"/>
      <c r="P148" s="310"/>
    </row>
    <row r="149" spans="1:16" ht="40.5">
      <c r="A149" s="333"/>
      <c r="B149" s="45"/>
      <c r="C149" s="114">
        <v>4740</v>
      </c>
      <c r="D149" s="58" t="s">
        <v>182</v>
      </c>
      <c r="E149" s="51">
        <v>466.88</v>
      </c>
      <c r="F149" s="51">
        <v>466.88</v>
      </c>
      <c r="G149" s="276">
        <f t="shared" si="18"/>
        <v>1</v>
      </c>
      <c r="H149" s="324"/>
      <c r="I149" s="293"/>
      <c r="J149" s="331"/>
      <c r="K149" s="51">
        <v>466.88</v>
      </c>
      <c r="L149" s="51">
        <v>466.88</v>
      </c>
      <c r="M149" s="332">
        <f t="shared" si="19"/>
        <v>1</v>
      </c>
      <c r="N149" s="334"/>
      <c r="O149" s="293"/>
      <c r="P149" s="310"/>
    </row>
    <row r="150" spans="1:16" ht="41.25" thickBot="1">
      <c r="A150" s="333"/>
      <c r="B150" s="45"/>
      <c r="C150" s="114">
        <v>4750</v>
      </c>
      <c r="D150" s="58" t="s">
        <v>183</v>
      </c>
      <c r="E150" s="51">
        <v>519.56</v>
      </c>
      <c r="F150" s="51">
        <v>519.56</v>
      </c>
      <c r="G150" s="276">
        <f t="shared" si="18"/>
        <v>1</v>
      </c>
      <c r="H150" s="324"/>
      <c r="I150" s="293"/>
      <c r="J150" s="331"/>
      <c r="K150" s="51">
        <v>519.56</v>
      </c>
      <c r="L150" s="51">
        <v>519.56</v>
      </c>
      <c r="M150" s="332">
        <f t="shared" si="19"/>
        <v>1</v>
      </c>
      <c r="N150" s="334"/>
      <c r="O150" s="293"/>
      <c r="P150" s="310"/>
    </row>
    <row r="151" spans="1:16" s="175" customFormat="1" ht="41.25" thickBot="1">
      <c r="A151" s="177">
        <v>754</v>
      </c>
      <c r="B151" s="112"/>
      <c r="C151" s="112"/>
      <c r="D151" s="113" t="s">
        <v>131</v>
      </c>
      <c r="E151" s="173">
        <f>E152+E154+E156</f>
        <v>183200</v>
      </c>
      <c r="F151" s="173">
        <f>F152+F154+F156</f>
        <v>158376.47999999998</v>
      </c>
      <c r="G151" s="415">
        <f t="shared" si="18"/>
        <v>0.8645004366812226</v>
      </c>
      <c r="H151" s="173">
        <f>H152+H154+H156</f>
        <v>183200</v>
      </c>
      <c r="I151" s="173">
        <f>I152+I154+I156</f>
        <v>158376.47999999998</v>
      </c>
      <c r="J151" s="188">
        <f aca="true" t="shared" si="22" ref="J151:J156">I151/H151</f>
        <v>0.8645004366812226</v>
      </c>
      <c r="K151" s="416"/>
      <c r="L151" s="173"/>
      <c r="M151" s="417"/>
      <c r="N151" s="416"/>
      <c r="O151" s="173"/>
      <c r="P151" s="179"/>
    </row>
    <row r="152" spans="1:16" ht="20.25">
      <c r="A152" s="262"/>
      <c r="B152" s="45">
        <v>75405</v>
      </c>
      <c r="C152" s="114"/>
      <c r="D152" s="45" t="s">
        <v>107</v>
      </c>
      <c r="E152" s="79">
        <f>E153</f>
        <v>4700</v>
      </c>
      <c r="F152" s="95">
        <f>F153</f>
        <v>4398.27</v>
      </c>
      <c r="G152" s="287">
        <f>F152/E152</f>
        <v>0.9358021276595746</v>
      </c>
      <c r="H152" s="109">
        <f>H153</f>
        <v>4700</v>
      </c>
      <c r="I152" s="109">
        <f>I153</f>
        <v>4398.27</v>
      </c>
      <c r="J152" s="81">
        <f t="shared" si="22"/>
        <v>0.9358021276595746</v>
      </c>
      <c r="K152" s="338"/>
      <c r="L152" s="145"/>
      <c r="M152" s="339"/>
      <c r="N152" s="338"/>
      <c r="O152" s="145"/>
      <c r="P152" s="150"/>
    </row>
    <row r="153" spans="1:16" ht="60.75">
      <c r="A153" s="262"/>
      <c r="B153" s="104"/>
      <c r="C153" s="114">
        <v>6620</v>
      </c>
      <c r="D153" s="353" t="s">
        <v>144</v>
      </c>
      <c r="E153" s="71">
        <v>4700</v>
      </c>
      <c r="F153" s="71">
        <v>4398.27</v>
      </c>
      <c r="G153" s="276">
        <f t="shared" si="18"/>
        <v>0.9358021276595746</v>
      </c>
      <c r="H153" s="71">
        <v>4700</v>
      </c>
      <c r="I153" s="71">
        <v>4398.27</v>
      </c>
      <c r="J153" s="105">
        <f t="shared" si="22"/>
        <v>0.9358021276595746</v>
      </c>
      <c r="K153" s="338"/>
      <c r="L153" s="145"/>
      <c r="M153" s="339"/>
      <c r="N153" s="338"/>
      <c r="O153" s="145"/>
      <c r="P153" s="150"/>
    </row>
    <row r="154" spans="1:16" ht="40.5">
      <c r="A154" s="262"/>
      <c r="B154" s="116">
        <v>75411</v>
      </c>
      <c r="C154" s="116"/>
      <c r="D154" s="340" t="s">
        <v>160</v>
      </c>
      <c r="E154" s="95">
        <f>E155</f>
        <v>15000</v>
      </c>
      <c r="F154" s="95">
        <f>F155</f>
        <v>15000</v>
      </c>
      <c r="G154" s="287">
        <f>F154/E154</f>
        <v>1</v>
      </c>
      <c r="H154" s="95">
        <f>H155</f>
        <v>15000</v>
      </c>
      <c r="I154" s="95">
        <f>I155</f>
        <v>15000</v>
      </c>
      <c r="J154" s="288">
        <f t="shared" si="22"/>
        <v>1</v>
      </c>
      <c r="K154" s="341"/>
      <c r="L154" s="342"/>
      <c r="M154" s="343"/>
      <c r="N154" s="341"/>
      <c r="O154" s="342"/>
      <c r="P154" s="344"/>
    </row>
    <row r="155" spans="1:16" ht="60.75">
      <c r="A155" s="262"/>
      <c r="B155" s="104"/>
      <c r="C155" s="114">
        <v>6620</v>
      </c>
      <c r="D155" s="353" t="s">
        <v>144</v>
      </c>
      <c r="E155" s="71">
        <v>15000</v>
      </c>
      <c r="F155" s="71">
        <v>15000</v>
      </c>
      <c r="G155" s="276">
        <f>F155/E155</f>
        <v>1</v>
      </c>
      <c r="H155" s="71">
        <v>15000</v>
      </c>
      <c r="I155" s="71">
        <v>15000</v>
      </c>
      <c r="J155" s="105">
        <f t="shared" si="22"/>
        <v>1</v>
      </c>
      <c r="K155" s="338"/>
      <c r="L155" s="145"/>
      <c r="M155" s="339"/>
      <c r="N155" s="338"/>
      <c r="O155" s="145"/>
      <c r="P155" s="150"/>
    </row>
    <row r="156" spans="1:16" ht="20.25">
      <c r="A156" s="66"/>
      <c r="B156" s="78">
        <v>75412</v>
      </c>
      <c r="C156" s="116"/>
      <c r="D156" s="78" t="s">
        <v>61</v>
      </c>
      <c r="E156" s="95">
        <f>E157+E158+E159+E160+E162+E163+E164+E165+E166+E167+E168+E169+E170</f>
        <v>163500</v>
      </c>
      <c r="F156" s="95">
        <f>F157+F158+F159+F160+F162+F163+F164+F165+F166+F167+F168+F169+F170</f>
        <v>138978.21</v>
      </c>
      <c r="G156" s="287">
        <f t="shared" si="18"/>
        <v>0.8500196330275229</v>
      </c>
      <c r="H156" s="95">
        <f>SUM(H157:H170)-H161</f>
        <v>163500</v>
      </c>
      <c r="I156" s="95">
        <f>SUM(I157:I170)-I161</f>
        <v>138978.21</v>
      </c>
      <c r="J156" s="81">
        <f t="shared" si="22"/>
        <v>0.8500196330275229</v>
      </c>
      <c r="K156" s="305"/>
      <c r="L156" s="306"/>
      <c r="M156" s="307"/>
      <c r="N156" s="305"/>
      <c r="O156" s="306"/>
      <c r="P156" s="308"/>
    </row>
    <row r="157" spans="1:16" ht="22.5" customHeight="1">
      <c r="A157" s="66"/>
      <c r="B157" s="45"/>
      <c r="C157" s="114">
        <v>4010</v>
      </c>
      <c r="D157" s="87" t="s">
        <v>48</v>
      </c>
      <c r="E157" s="51">
        <v>23500</v>
      </c>
      <c r="F157" s="324">
        <v>23472.21</v>
      </c>
      <c r="G157" s="276">
        <f aca="true" t="shared" si="23" ref="G157:G169">F157/E157</f>
        <v>0.9988174468085106</v>
      </c>
      <c r="H157" s="51">
        <v>23500</v>
      </c>
      <c r="I157" s="324">
        <v>23472.21</v>
      </c>
      <c r="J157" s="105">
        <f aca="true" t="shared" si="24" ref="J157:J169">I157/H157</f>
        <v>0.9988174468085106</v>
      </c>
      <c r="K157" s="292"/>
      <c r="L157" s="293"/>
      <c r="M157" s="316"/>
      <c r="N157" s="292"/>
      <c r="O157" s="293"/>
      <c r="P157" s="310"/>
    </row>
    <row r="158" spans="1:16" ht="20.25">
      <c r="A158" s="66"/>
      <c r="B158" s="45"/>
      <c r="C158" s="114">
        <v>4040</v>
      </c>
      <c r="D158" s="87" t="s">
        <v>49</v>
      </c>
      <c r="E158" s="51">
        <v>2000</v>
      </c>
      <c r="F158" s="324">
        <v>1909.53</v>
      </c>
      <c r="G158" s="276">
        <f t="shared" si="23"/>
        <v>0.954765</v>
      </c>
      <c r="H158" s="51">
        <v>2000</v>
      </c>
      <c r="I158" s="324">
        <v>1909.53</v>
      </c>
      <c r="J158" s="105">
        <f t="shared" si="24"/>
        <v>0.954765</v>
      </c>
      <c r="K158" s="292"/>
      <c r="L158" s="293"/>
      <c r="M158" s="316"/>
      <c r="N158" s="292"/>
      <c r="O158" s="293"/>
      <c r="P158" s="310"/>
    </row>
    <row r="159" spans="1:16" ht="20.25">
      <c r="A159" s="66"/>
      <c r="B159" s="45"/>
      <c r="C159" s="114">
        <v>4110</v>
      </c>
      <c r="D159" s="87" t="s">
        <v>50</v>
      </c>
      <c r="E159" s="51">
        <v>5300</v>
      </c>
      <c r="F159" s="324">
        <v>4594.55</v>
      </c>
      <c r="G159" s="276">
        <f t="shared" si="23"/>
        <v>0.8668962264150943</v>
      </c>
      <c r="H159" s="51">
        <v>5300</v>
      </c>
      <c r="I159" s="324">
        <v>4594.55</v>
      </c>
      <c r="J159" s="105">
        <f t="shared" si="24"/>
        <v>0.8668962264150943</v>
      </c>
      <c r="K159" s="292"/>
      <c r="L159" s="293"/>
      <c r="M159" s="309"/>
      <c r="N159" s="292"/>
      <c r="O159" s="293"/>
      <c r="P159" s="310"/>
    </row>
    <row r="160" spans="1:16" ht="20.25">
      <c r="A160" s="317"/>
      <c r="B160" s="211"/>
      <c r="C160" s="354">
        <v>4120</v>
      </c>
      <c r="D160" s="212" t="s">
        <v>51</v>
      </c>
      <c r="E160" s="213">
        <v>700</v>
      </c>
      <c r="F160" s="361">
        <v>654.85</v>
      </c>
      <c r="G160" s="355">
        <f t="shared" si="23"/>
        <v>0.9355</v>
      </c>
      <c r="H160" s="213">
        <v>700</v>
      </c>
      <c r="I160" s="361">
        <v>654.85</v>
      </c>
      <c r="J160" s="356">
        <f t="shared" si="24"/>
        <v>0.9355</v>
      </c>
      <c r="K160" s="357"/>
      <c r="L160" s="358"/>
      <c r="M160" s="359"/>
      <c r="N160" s="357"/>
      <c r="O160" s="358"/>
      <c r="P160" s="360"/>
    </row>
    <row r="161" spans="1:16" ht="21" thickBot="1">
      <c r="A161" s="253">
        <v>1</v>
      </c>
      <c r="B161" s="253">
        <v>2</v>
      </c>
      <c r="C161" s="253">
        <v>3</v>
      </c>
      <c r="D161" s="253">
        <v>4</v>
      </c>
      <c r="E161" s="254">
        <v>5</v>
      </c>
      <c r="F161" s="254">
        <v>6</v>
      </c>
      <c r="G161" s="255">
        <v>7</v>
      </c>
      <c r="H161" s="256">
        <v>8</v>
      </c>
      <c r="I161" s="254">
        <v>9</v>
      </c>
      <c r="J161" s="257">
        <v>10</v>
      </c>
      <c r="K161" s="258">
        <v>11</v>
      </c>
      <c r="L161" s="259">
        <v>12</v>
      </c>
      <c r="M161" s="255">
        <v>13</v>
      </c>
      <c r="N161" s="260">
        <v>14</v>
      </c>
      <c r="O161" s="261">
        <v>15</v>
      </c>
      <c r="P161" s="261">
        <v>16</v>
      </c>
    </row>
    <row r="162" spans="1:16" ht="21" thickTop="1">
      <c r="A162" s="66"/>
      <c r="B162" s="45"/>
      <c r="C162" s="114">
        <v>4140</v>
      </c>
      <c r="D162" s="87" t="s">
        <v>52</v>
      </c>
      <c r="E162" s="51">
        <v>1400</v>
      </c>
      <c r="F162" s="324">
        <v>1393.88</v>
      </c>
      <c r="G162" s="276">
        <f t="shared" si="23"/>
        <v>0.9956285714285715</v>
      </c>
      <c r="H162" s="51">
        <v>1400</v>
      </c>
      <c r="I162" s="324">
        <v>1393.88</v>
      </c>
      <c r="J162" s="105">
        <f t="shared" si="24"/>
        <v>0.9956285714285715</v>
      </c>
      <c r="K162" s="292"/>
      <c r="L162" s="293"/>
      <c r="M162" s="316"/>
      <c r="N162" s="292"/>
      <c r="O162" s="293"/>
      <c r="P162" s="310"/>
    </row>
    <row r="163" spans="1:16" ht="20.25">
      <c r="A163" s="66"/>
      <c r="B163" s="45"/>
      <c r="C163" s="114">
        <v>4210</v>
      </c>
      <c r="D163" s="87" t="s">
        <v>43</v>
      </c>
      <c r="E163" s="51">
        <v>17000</v>
      </c>
      <c r="F163" s="324">
        <v>16995.4</v>
      </c>
      <c r="G163" s="276">
        <f t="shared" si="23"/>
        <v>0.999729411764706</v>
      </c>
      <c r="H163" s="51">
        <v>17000</v>
      </c>
      <c r="I163" s="324">
        <v>16995.4</v>
      </c>
      <c r="J163" s="105">
        <f t="shared" si="24"/>
        <v>0.999729411764706</v>
      </c>
      <c r="K163" s="292"/>
      <c r="L163" s="293"/>
      <c r="M163" s="316"/>
      <c r="N163" s="292"/>
      <c r="O163" s="293"/>
      <c r="P163" s="310"/>
    </row>
    <row r="164" spans="1:16" ht="20.25">
      <c r="A164" s="66"/>
      <c r="B164" s="45"/>
      <c r="C164" s="114">
        <v>4260</v>
      </c>
      <c r="D164" s="87" t="s">
        <v>53</v>
      </c>
      <c r="E164" s="51">
        <v>23000</v>
      </c>
      <c r="F164" s="324">
        <v>22895.93</v>
      </c>
      <c r="G164" s="276">
        <f t="shared" si="23"/>
        <v>0.9954752173913044</v>
      </c>
      <c r="H164" s="51">
        <v>23000</v>
      </c>
      <c r="I164" s="324">
        <v>22895.93</v>
      </c>
      <c r="J164" s="105">
        <f t="shared" si="24"/>
        <v>0.9954752173913044</v>
      </c>
      <c r="K164" s="292"/>
      <c r="L164" s="293"/>
      <c r="M164" s="316"/>
      <c r="N164" s="292"/>
      <c r="O164" s="293"/>
      <c r="P164" s="310"/>
    </row>
    <row r="165" spans="1:16" ht="20.25">
      <c r="A165" s="66"/>
      <c r="B165" s="45"/>
      <c r="C165" s="114">
        <v>4270</v>
      </c>
      <c r="D165" s="87" t="s">
        <v>44</v>
      </c>
      <c r="E165" s="51">
        <v>2500</v>
      </c>
      <c r="F165" s="324">
        <v>2152.8</v>
      </c>
      <c r="G165" s="276">
        <f t="shared" si="23"/>
        <v>0.8611200000000001</v>
      </c>
      <c r="H165" s="51">
        <v>2500</v>
      </c>
      <c r="I165" s="324">
        <v>2152.8</v>
      </c>
      <c r="J165" s="105">
        <f t="shared" si="24"/>
        <v>0.8611200000000001</v>
      </c>
      <c r="K165" s="292"/>
      <c r="L165" s="293"/>
      <c r="M165" s="316"/>
      <c r="N165" s="292"/>
      <c r="O165" s="293"/>
      <c r="P165" s="310"/>
    </row>
    <row r="166" spans="1:16" ht="20.25">
      <c r="A166" s="66"/>
      <c r="B166" s="45"/>
      <c r="C166" s="114">
        <v>4300</v>
      </c>
      <c r="D166" s="87" t="s">
        <v>45</v>
      </c>
      <c r="E166" s="51">
        <v>19500</v>
      </c>
      <c r="F166" s="324">
        <v>18761.06</v>
      </c>
      <c r="G166" s="276">
        <f t="shared" si="23"/>
        <v>0.9621056410256411</v>
      </c>
      <c r="H166" s="51">
        <v>19500</v>
      </c>
      <c r="I166" s="324">
        <v>18761.06</v>
      </c>
      <c r="J166" s="105">
        <f t="shared" si="24"/>
        <v>0.9621056410256411</v>
      </c>
      <c r="K166" s="292"/>
      <c r="L166" s="293"/>
      <c r="M166" s="316"/>
      <c r="N166" s="292"/>
      <c r="O166" s="293"/>
      <c r="P166" s="310"/>
    </row>
    <row r="167" spans="1:16" ht="40.5">
      <c r="A167" s="66"/>
      <c r="B167" s="45"/>
      <c r="C167" s="114">
        <v>4370</v>
      </c>
      <c r="D167" s="58" t="s">
        <v>191</v>
      </c>
      <c r="E167" s="51">
        <v>1000</v>
      </c>
      <c r="F167" s="324">
        <v>850.23</v>
      </c>
      <c r="G167" s="276">
        <f t="shared" si="23"/>
        <v>0.85023</v>
      </c>
      <c r="H167" s="51">
        <v>1000</v>
      </c>
      <c r="I167" s="324">
        <v>850.23</v>
      </c>
      <c r="J167" s="105">
        <f t="shared" si="24"/>
        <v>0.85023</v>
      </c>
      <c r="K167" s="292"/>
      <c r="L167" s="293"/>
      <c r="M167" s="316"/>
      <c r="N167" s="292"/>
      <c r="O167" s="293"/>
      <c r="P167" s="310"/>
    </row>
    <row r="168" spans="1:16" ht="20.25">
      <c r="A168" s="66"/>
      <c r="B168" s="45"/>
      <c r="C168" s="114">
        <v>4410</v>
      </c>
      <c r="D168" s="87" t="s">
        <v>56</v>
      </c>
      <c r="E168" s="51">
        <v>300</v>
      </c>
      <c r="F168" s="324">
        <v>137.04</v>
      </c>
      <c r="G168" s="276">
        <f t="shared" si="23"/>
        <v>0.4568</v>
      </c>
      <c r="H168" s="51">
        <v>300</v>
      </c>
      <c r="I168" s="324">
        <v>137.04</v>
      </c>
      <c r="J168" s="105">
        <f t="shared" si="24"/>
        <v>0.4568</v>
      </c>
      <c r="K168" s="292"/>
      <c r="L168" s="293"/>
      <c r="M168" s="316"/>
      <c r="N168" s="292"/>
      <c r="O168" s="293"/>
      <c r="P168" s="310"/>
    </row>
    <row r="169" spans="1:16" ht="20.25">
      <c r="A169" s="66"/>
      <c r="B169" s="45"/>
      <c r="C169" s="114">
        <v>4430</v>
      </c>
      <c r="D169" s="87" t="s">
        <v>54</v>
      </c>
      <c r="E169" s="51">
        <v>7300</v>
      </c>
      <c r="F169" s="324">
        <v>6271</v>
      </c>
      <c r="G169" s="276">
        <f t="shared" si="23"/>
        <v>0.859041095890411</v>
      </c>
      <c r="H169" s="51">
        <v>7300</v>
      </c>
      <c r="I169" s="324">
        <v>6271</v>
      </c>
      <c r="J169" s="105">
        <f t="shared" si="24"/>
        <v>0.859041095890411</v>
      </c>
      <c r="K169" s="292"/>
      <c r="L169" s="293"/>
      <c r="M169" s="316"/>
      <c r="N169" s="292"/>
      <c r="O169" s="293"/>
      <c r="P169" s="310"/>
    </row>
    <row r="170" spans="1:16" ht="21" thickBot="1">
      <c r="A170" s="66"/>
      <c r="B170" s="45"/>
      <c r="C170" s="114">
        <v>6050</v>
      </c>
      <c r="D170" s="87" t="s">
        <v>73</v>
      </c>
      <c r="E170" s="51">
        <v>60000</v>
      </c>
      <c r="F170" s="51">
        <v>38889.73</v>
      </c>
      <c r="G170" s="276">
        <f>F170/E170</f>
        <v>0.6481621666666667</v>
      </c>
      <c r="H170" s="51">
        <v>60000</v>
      </c>
      <c r="I170" s="51">
        <v>38889.73</v>
      </c>
      <c r="J170" s="330">
        <f>I170/H170</f>
        <v>0.6481621666666667</v>
      </c>
      <c r="K170" s="292"/>
      <c r="L170" s="293"/>
      <c r="M170" s="316"/>
      <c r="N170" s="292"/>
      <c r="O170" s="293"/>
      <c r="P170" s="310"/>
    </row>
    <row r="171" spans="1:16" s="175" customFormat="1" ht="81.75" thickBot="1">
      <c r="A171" s="418">
        <v>756</v>
      </c>
      <c r="B171" s="112"/>
      <c r="C171" s="112"/>
      <c r="D171" s="113" t="s">
        <v>113</v>
      </c>
      <c r="E171" s="173">
        <f>E172</f>
        <v>30000</v>
      </c>
      <c r="F171" s="173">
        <f>F172</f>
        <v>29121.3</v>
      </c>
      <c r="G171" s="415">
        <f aca="true" t="shared" si="25" ref="G171:G178">F171/E171</f>
        <v>0.97071</v>
      </c>
      <c r="H171" s="170">
        <f>H172</f>
        <v>30000</v>
      </c>
      <c r="I171" s="173">
        <f>I172</f>
        <v>29121.3</v>
      </c>
      <c r="J171" s="188">
        <f aca="true" t="shared" si="26" ref="J171:J178">I171/H171</f>
        <v>0.97071</v>
      </c>
      <c r="K171" s="416"/>
      <c r="L171" s="173"/>
      <c r="M171" s="417"/>
      <c r="N171" s="416"/>
      <c r="O171" s="173"/>
      <c r="P171" s="179"/>
    </row>
    <row r="172" spans="1:16" ht="40.5">
      <c r="A172" s="333"/>
      <c r="B172" s="114">
        <v>75647</v>
      </c>
      <c r="C172" s="114"/>
      <c r="D172" s="30" t="s">
        <v>132</v>
      </c>
      <c r="E172" s="67">
        <f>SUM(E173:E174)</f>
        <v>30000</v>
      </c>
      <c r="F172" s="67">
        <f>SUM(F173:F174)</f>
        <v>29121.3</v>
      </c>
      <c r="G172" s="263">
        <f t="shared" si="25"/>
        <v>0.97071</v>
      </c>
      <c r="H172" s="67">
        <f>SUM(H173:H174)</f>
        <v>30000</v>
      </c>
      <c r="I172" s="67">
        <f>SUM(I173:I174)</f>
        <v>29121.3</v>
      </c>
      <c r="J172" s="291">
        <f t="shared" si="26"/>
        <v>0.97071</v>
      </c>
      <c r="K172" s="265"/>
      <c r="L172" s="67"/>
      <c r="M172" s="323"/>
      <c r="N172" s="265"/>
      <c r="O172" s="67"/>
      <c r="P172" s="69"/>
    </row>
    <row r="173" spans="1:16" ht="20.25">
      <c r="A173" s="333"/>
      <c r="B173" s="45"/>
      <c r="C173" s="114">
        <v>4100</v>
      </c>
      <c r="D173" s="87" t="s">
        <v>60</v>
      </c>
      <c r="E173" s="51">
        <v>29000</v>
      </c>
      <c r="F173" s="324">
        <v>28976</v>
      </c>
      <c r="G173" s="276">
        <f t="shared" si="25"/>
        <v>0.9991724137931034</v>
      </c>
      <c r="H173" s="51">
        <v>29000</v>
      </c>
      <c r="I173" s="324">
        <v>28976</v>
      </c>
      <c r="J173" s="105">
        <f t="shared" si="26"/>
        <v>0.9991724137931034</v>
      </c>
      <c r="K173" s="292"/>
      <c r="L173" s="293"/>
      <c r="M173" s="316"/>
      <c r="N173" s="292"/>
      <c r="O173" s="293"/>
      <c r="P173" s="310"/>
    </row>
    <row r="174" spans="1:16" ht="21" thickBot="1">
      <c r="A174" s="66"/>
      <c r="B174" s="45"/>
      <c r="C174" s="114">
        <v>4210</v>
      </c>
      <c r="D174" s="87" t="s">
        <v>43</v>
      </c>
      <c r="E174" s="51">
        <v>1000</v>
      </c>
      <c r="F174" s="324">
        <v>145.3</v>
      </c>
      <c r="G174" s="276">
        <f t="shared" si="25"/>
        <v>0.1453</v>
      </c>
      <c r="H174" s="51">
        <v>1000</v>
      </c>
      <c r="I174" s="324">
        <v>145.3</v>
      </c>
      <c r="J174" s="105">
        <f t="shared" si="26"/>
        <v>0.1453</v>
      </c>
      <c r="K174" s="292"/>
      <c r="L174" s="293"/>
      <c r="M174" s="316"/>
      <c r="N174" s="292"/>
      <c r="O174" s="293"/>
      <c r="P174" s="310"/>
    </row>
    <row r="175" spans="1:16" s="195" customFormat="1" ht="30" customHeight="1" thickBot="1">
      <c r="A175" s="419">
        <v>757</v>
      </c>
      <c r="B175" s="113"/>
      <c r="C175" s="113"/>
      <c r="D175" s="113" t="s">
        <v>62</v>
      </c>
      <c r="E175" s="168">
        <f>E176</f>
        <v>180000</v>
      </c>
      <c r="F175" s="168">
        <f>F176</f>
        <v>172933.47</v>
      </c>
      <c r="G175" s="399">
        <f t="shared" si="25"/>
        <v>0.9607415</v>
      </c>
      <c r="H175" s="190">
        <f>H176</f>
        <v>180000</v>
      </c>
      <c r="I175" s="168">
        <f>I176</f>
        <v>172933.47</v>
      </c>
      <c r="J175" s="191">
        <f t="shared" si="26"/>
        <v>0.9607415</v>
      </c>
      <c r="K175" s="400"/>
      <c r="L175" s="168"/>
      <c r="M175" s="413"/>
      <c r="N175" s="400"/>
      <c r="O175" s="168"/>
      <c r="P175" s="194"/>
    </row>
    <row r="176" spans="1:16" ht="40.5">
      <c r="A176" s="333"/>
      <c r="B176" s="114">
        <v>75702</v>
      </c>
      <c r="C176" s="114"/>
      <c r="D176" s="30" t="s">
        <v>133</v>
      </c>
      <c r="E176" s="67">
        <f>SUM(E177:E178)</f>
        <v>180000</v>
      </c>
      <c r="F176" s="67">
        <f>SUM(F177:F178)</f>
        <v>172933.47</v>
      </c>
      <c r="G176" s="263">
        <f t="shared" si="25"/>
        <v>0.9607415</v>
      </c>
      <c r="H176" s="67">
        <f>SUM(H177:H178)</f>
        <v>180000</v>
      </c>
      <c r="I176" s="67">
        <f>SUM(I177:I178)</f>
        <v>172933.47</v>
      </c>
      <c r="J176" s="291">
        <f t="shared" si="26"/>
        <v>0.9607415</v>
      </c>
      <c r="K176" s="265"/>
      <c r="L176" s="67"/>
      <c r="M176" s="323"/>
      <c r="N176" s="265"/>
      <c r="O176" s="67"/>
      <c r="P176" s="69"/>
    </row>
    <row r="177" spans="1:16" ht="40.5">
      <c r="A177" s="333"/>
      <c r="B177" s="45"/>
      <c r="C177" s="114">
        <v>8010</v>
      </c>
      <c r="D177" s="58" t="s">
        <v>192</v>
      </c>
      <c r="E177" s="51">
        <v>20600</v>
      </c>
      <c r="F177" s="324">
        <v>19786.98</v>
      </c>
      <c r="G177" s="276">
        <f t="shared" si="25"/>
        <v>0.9605330097087379</v>
      </c>
      <c r="H177" s="51">
        <v>20600</v>
      </c>
      <c r="I177" s="324">
        <v>19786.98</v>
      </c>
      <c r="J177" s="105">
        <f t="shared" si="26"/>
        <v>0.9605330097087379</v>
      </c>
      <c r="K177" s="292"/>
      <c r="L177" s="293"/>
      <c r="M177" s="316"/>
      <c r="N177" s="292"/>
      <c r="O177" s="293"/>
      <c r="P177" s="310"/>
    </row>
    <row r="178" spans="1:16" ht="63" customHeight="1" thickBot="1">
      <c r="A178" s="333"/>
      <c r="B178" s="45"/>
      <c r="C178" s="114">
        <v>8070</v>
      </c>
      <c r="D178" s="353" t="s">
        <v>134</v>
      </c>
      <c r="E178" s="51">
        <v>159400</v>
      </c>
      <c r="F178" s="324">
        <v>153146.49</v>
      </c>
      <c r="G178" s="276">
        <f t="shared" si="25"/>
        <v>0.960768444165621</v>
      </c>
      <c r="H178" s="51">
        <v>159400</v>
      </c>
      <c r="I178" s="324">
        <v>153146.49</v>
      </c>
      <c r="J178" s="105">
        <f t="shared" si="26"/>
        <v>0.960768444165621</v>
      </c>
      <c r="K178" s="292"/>
      <c r="L178" s="293"/>
      <c r="M178" s="316"/>
      <c r="N178" s="292"/>
      <c r="O178" s="293"/>
      <c r="P178" s="310"/>
    </row>
    <row r="179" spans="1:16" s="195" customFormat="1" ht="30" customHeight="1" thickBot="1">
      <c r="A179" s="398">
        <v>801</v>
      </c>
      <c r="B179" s="113"/>
      <c r="C179" s="113"/>
      <c r="D179" s="113" t="s">
        <v>37</v>
      </c>
      <c r="E179" s="168">
        <f>E180+E206+E217+E232+E256+E265+E290+E310+E315</f>
        <v>5601403</v>
      </c>
      <c r="F179" s="168">
        <f>F180+F206+F217+F232+F256+F265+F290+F310+F315</f>
        <v>5366566.720000001</v>
      </c>
      <c r="G179" s="399">
        <f>F179/E179</f>
        <v>0.9580754535961795</v>
      </c>
      <c r="H179" s="168">
        <f>H180+H206+H217+H232+H256+H265+H290+H310+H315</f>
        <v>5601403</v>
      </c>
      <c r="I179" s="168">
        <f>I180+I206+I217+I232+I256+I265+I290+I310+I315</f>
        <v>5366566.720000001</v>
      </c>
      <c r="J179" s="192">
        <f>I179/H179</f>
        <v>0.9580754535961795</v>
      </c>
      <c r="K179" s="193"/>
      <c r="L179" s="168"/>
      <c r="M179" s="413"/>
      <c r="N179" s="409"/>
      <c r="O179" s="410"/>
      <c r="P179" s="412"/>
    </row>
    <row r="180" spans="1:16" ht="20.25">
      <c r="A180" s="66"/>
      <c r="B180" s="45">
        <v>80101</v>
      </c>
      <c r="C180" s="114"/>
      <c r="D180" s="45" t="s">
        <v>38</v>
      </c>
      <c r="E180" s="67">
        <f>SUM(E181:E205)-E201</f>
        <v>2268444</v>
      </c>
      <c r="F180" s="67">
        <f>SUM(F181:F205)-F201</f>
        <v>2222794.9</v>
      </c>
      <c r="G180" s="263">
        <f>F180/E180</f>
        <v>0.979876470391158</v>
      </c>
      <c r="H180" s="67">
        <f>SUM(H181:H205)-H201</f>
        <v>2268444</v>
      </c>
      <c r="I180" s="67">
        <f>SUM(I181:I205)-I201</f>
        <v>2222794.9</v>
      </c>
      <c r="J180" s="291">
        <f>I180/H180</f>
        <v>0.979876470391158</v>
      </c>
      <c r="K180" s="133"/>
      <c r="L180" s="67"/>
      <c r="M180" s="337"/>
      <c r="N180" s="265"/>
      <c r="O180" s="67"/>
      <c r="P180" s="69"/>
    </row>
    <row r="181" spans="1:16" ht="60.75">
      <c r="A181" s="66"/>
      <c r="B181" s="45"/>
      <c r="C181" s="114">
        <v>2910</v>
      </c>
      <c r="D181" s="58" t="s">
        <v>162</v>
      </c>
      <c r="E181" s="51">
        <v>1793</v>
      </c>
      <c r="F181" s="324">
        <v>1792.5</v>
      </c>
      <c r="G181" s="276">
        <f aca="true" t="shared" si="27" ref="G181:G216">F181/E181</f>
        <v>0.9997211377579476</v>
      </c>
      <c r="H181" s="51">
        <v>1793</v>
      </c>
      <c r="I181" s="324">
        <v>1792.5</v>
      </c>
      <c r="J181" s="105">
        <f aca="true" t="shared" si="28" ref="J181:J216">I181/H181</f>
        <v>0.9997211377579476</v>
      </c>
      <c r="K181" s="292"/>
      <c r="L181" s="293"/>
      <c r="M181" s="332"/>
      <c r="N181" s="292"/>
      <c r="O181" s="293"/>
      <c r="P181" s="310"/>
    </row>
    <row r="182" spans="1:16" ht="20.25">
      <c r="A182" s="66"/>
      <c r="B182" s="45"/>
      <c r="C182" s="114">
        <v>3020</v>
      </c>
      <c r="D182" s="58" t="s">
        <v>128</v>
      </c>
      <c r="E182" s="51">
        <v>108040</v>
      </c>
      <c r="F182" s="324">
        <v>108025.75</v>
      </c>
      <c r="G182" s="276">
        <f t="shared" si="27"/>
        <v>0.9998681044057757</v>
      </c>
      <c r="H182" s="51">
        <v>108040</v>
      </c>
      <c r="I182" s="324">
        <v>108025.75</v>
      </c>
      <c r="J182" s="105">
        <f t="shared" si="28"/>
        <v>0.9998681044057757</v>
      </c>
      <c r="K182" s="292"/>
      <c r="L182" s="293"/>
      <c r="M182" s="332"/>
      <c r="N182" s="292"/>
      <c r="O182" s="293"/>
      <c r="P182" s="310"/>
    </row>
    <row r="183" spans="1:16" ht="20.25">
      <c r="A183" s="66"/>
      <c r="B183" s="45"/>
      <c r="C183" s="114">
        <v>4010</v>
      </c>
      <c r="D183" s="87" t="s">
        <v>48</v>
      </c>
      <c r="E183" s="51">
        <v>1215524</v>
      </c>
      <c r="F183" s="324">
        <v>1211136.33</v>
      </c>
      <c r="G183" s="276">
        <f t="shared" si="27"/>
        <v>0.996390305744683</v>
      </c>
      <c r="H183" s="51">
        <v>1215524</v>
      </c>
      <c r="I183" s="324">
        <v>1211136.33</v>
      </c>
      <c r="J183" s="105">
        <f t="shared" si="28"/>
        <v>0.996390305744683</v>
      </c>
      <c r="K183" s="292"/>
      <c r="L183" s="293"/>
      <c r="M183" s="316"/>
      <c r="N183" s="292"/>
      <c r="O183" s="293"/>
      <c r="P183" s="310"/>
    </row>
    <row r="184" spans="1:16" ht="20.25">
      <c r="A184" s="66"/>
      <c r="B184" s="45"/>
      <c r="C184" s="114">
        <v>4040</v>
      </c>
      <c r="D184" s="87" t="s">
        <v>49</v>
      </c>
      <c r="E184" s="51">
        <v>91250</v>
      </c>
      <c r="F184" s="324">
        <v>90813.73</v>
      </c>
      <c r="G184" s="276">
        <f t="shared" si="27"/>
        <v>0.9952189589041095</v>
      </c>
      <c r="H184" s="51">
        <v>91250</v>
      </c>
      <c r="I184" s="324">
        <v>90813.73</v>
      </c>
      <c r="J184" s="105">
        <f t="shared" si="28"/>
        <v>0.9952189589041095</v>
      </c>
      <c r="K184" s="292"/>
      <c r="L184" s="293"/>
      <c r="M184" s="316"/>
      <c r="N184" s="292"/>
      <c r="O184" s="293"/>
      <c r="P184" s="310"/>
    </row>
    <row r="185" spans="1:16" ht="20.25">
      <c r="A185" s="66"/>
      <c r="B185" s="45"/>
      <c r="C185" s="114">
        <v>4110</v>
      </c>
      <c r="D185" s="87" t="s">
        <v>50</v>
      </c>
      <c r="E185" s="51">
        <v>243225</v>
      </c>
      <c r="F185" s="324">
        <v>236302.29</v>
      </c>
      <c r="G185" s="276">
        <f t="shared" si="27"/>
        <v>0.9715378353376504</v>
      </c>
      <c r="H185" s="51">
        <v>243225</v>
      </c>
      <c r="I185" s="324">
        <v>236302.29</v>
      </c>
      <c r="J185" s="105">
        <f t="shared" si="28"/>
        <v>0.9715378353376504</v>
      </c>
      <c r="K185" s="292"/>
      <c r="L185" s="293"/>
      <c r="M185" s="316"/>
      <c r="N185" s="292"/>
      <c r="O185" s="293"/>
      <c r="P185" s="310"/>
    </row>
    <row r="186" spans="1:16" ht="20.25">
      <c r="A186" s="66"/>
      <c r="B186" s="45"/>
      <c r="C186" s="114">
        <v>4120</v>
      </c>
      <c r="D186" s="87" t="s">
        <v>51</v>
      </c>
      <c r="E186" s="51">
        <v>34665</v>
      </c>
      <c r="F186" s="324">
        <v>33098.71</v>
      </c>
      <c r="G186" s="276">
        <f t="shared" si="27"/>
        <v>0.9548163854031444</v>
      </c>
      <c r="H186" s="51">
        <v>34665</v>
      </c>
      <c r="I186" s="324">
        <v>33098.71</v>
      </c>
      <c r="J186" s="105">
        <f t="shared" si="28"/>
        <v>0.9548163854031444</v>
      </c>
      <c r="K186" s="292"/>
      <c r="L186" s="293"/>
      <c r="M186" s="316"/>
      <c r="N186" s="292"/>
      <c r="O186" s="293"/>
      <c r="P186" s="310"/>
    </row>
    <row r="187" spans="1:16" ht="20.25">
      <c r="A187" s="66"/>
      <c r="B187" s="45"/>
      <c r="C187" s="114">
        <v>4140</v>
      </c>
      <c r="D187" s="87" t="s">
        <v>52</v>
      </c>
      <c r="E187" s="51">
        <v>9695</v>
      </c>
      <c r="F187" s="324">
        <v>8809</v>
      </c>
      <c r="G187" s="276">
        <f t="shared" si="27"/>
        <v>0.9086126869520371</v>
      </c>
      <c r="H187" s="51">
        <v>9695</v>
      </c>
      <c r="I187" s="324">
        <v>8809</v>
      </c>
      <c r="J187" s="105">
        <f t="shared" si="28"/>
        <v>0.9086126869520371</v>
      </c>
      <c r="K187" s="292"/>
      <c r="L187" s="293"/>
      <c r="M187" s="316"/>
      <c r="N187" s="292"/>
      <c r="O187" s="293"/>
      <c r="P187" s="310"/>
    </row>
    <row r="188" spans="1:16" ht="20.25">
      <c r="A188" s="66"/>
      <c r="B188" s="45"/>
      <c r="C188" s="114">
        <v>4170</v>
      </c>
      <c r="D188" s="87" t="s">
        <v>98</v>
      </c>
      <c r="E188" s="51">
        <v>12150</v>
      </c>
      <c r="F188" s="324">
        <v>11167.35</v>
      </c>
      <c r="G188" s="276">
        <f t="shared" si="27"/>
        <v>0.9191234567901235</v>
      </c>
      <c r="H188" s="51">
        <v>12150</v>
      </c>
      <c r="I188" s="324">
        <v>11167.35</v>
      </c>
      <c r="J188" s="105">
        <f t="shared" si="28"/>
        <v>0.9191234567901235</v>
      </c>
      <c r="K188" s="292"/>
      <c r="L188" s="293"/>
      <c r="M188" s="316"/>
      <c r="N188" s="292"/>
      <c r="O188" s="293"/>
      <c r="P188" s="310"/>
    </row>
    <row r="189" spans="1:16" ht="20.25">
      <c r="A189" s="45"/>
      <c r="B189" s="84"/>
      <c r="C189" s="114">
        <v>4210</v>
      </c>
      <c r="D189" s="87" t="s">
        <v>43</v>
      </c>
      <c r="E189" s="51">
        <v>92715</v>
      </c>
      <c r="F189" s="324">
        <v>92439.44</v>
      </c>
      <c r="G189" s="276">
        <f t="shared" si="27"/>
        <v>0.9970278811411315</v>
      </c>
      <c r="H189" s="51">
        <v>92715</v>
      </c>
      <c r="I189" s="324">
        <v>92439.44</v>
      </c>
      <c r="J189" s="105">
        <f t="shared" si="28"/>
        <v>0.9970278811411315</v>
      </c>
      <c r="K189" s="292"/>
      <c r="L189" s="293"/>
      <c r="M189" s="332"/>
      <c r="N189" s="292"/>
      <c r="O189" s="293"/>
      <c r="P189" s="310"/>
    </row>
    <row r="190" spans="1:16" ht="21" customHeight="1">
      <c r="A190" s="66"/>
      <c r="B190" s="45"/>
      <c r="C190" s="114">
        <v>4240</v>
      </c>
      <c r="D190" s="58" t="s">
        <v>135</v>
      </c>
      <c r="E190" s="51">
        <v>13660</v>
      </c>
      <c r="F190" s="324">
        <v>11909.11</v>
      </c>
      <c r="G190" s="276">
        <f t="shared" si="27"/>
        <v>0.8718235724743778</v>
      </c>
      <c r="H190" s="51">
        <v>13660</v>
      </c>
      <c r="I190" s="324">
        <v>11909.11</v>
      </c>
      <c r="J190" s="105">
        <f t="shared" si="28"/>
        <v>0.8718235724743778</v>
      </c>
      <c r="K190" s="292"/>
      <c r="L190" s="293"/>
      <c r="M190" s="316"/>
      <c r="N190" s="292"/>
      <c r="O190" s="293"/>
      <c r="P190" s="310"/>
    </row>
    <row r="191" spans="1:16" ht="20.25">
      <c r="A191" s="66"/>
      <c r="B191" s="45"/>
      <c r="C191" s="114">
        <v>4260</v>
      </c>
      <c r="D191" s="87" t="s">
        <v>53</v>
      </c>
      <c r="E191" s="51">
        <v>255535</v>
      </c>
      <c r="F191" s="324">
        <v>244310.76</v>
      </c>
      <c r="G191" s="276">
        <f t="shared" si="27"/>
        <v>0.9560755278141938</v>
      </c>
      <c r="H191" s="51">
        <v>255535</v>
      </c>
      <c r="I191" s="324">
        <v>244310.76</v>
      </c>
      <c r="J191" s="105">
        <f t="shared" si="28"/>
        <v>0.9560755278141938</v>
      </c>
      <c r="K191" s="292"/>
      <c r="L191" s="293"/>
      <c r="M191" s="316"/>
      <c r="N191" s="292"/>
      <c r="O191" s="293"/>
      <c r="P191" s="310"/>
    </row>
    <row r="192" spans="1:16" ht="20.25">
      <c r="A192" s="66"/>
      <c r="B192" s="45"/>
      <c r="C192" s="114">
        <v>4270</v>
      </c>
      <c r="D192" s="87" t="s">
        <v>44</v>
      </c>
      <c r="E192" s="51">
        <v>19460</v>
      </c>
      <c r="F192" s="324">
        <v>9667.68</v>
      </c>
      <c r="G192" s="276">
        <f t="shared" si="27"/>
        <v>0.49679753340184996</v>
      </c>
      <c r="H192" s="51">
        <v>19460</v>
      </c>
      <c r="I192" s="324">
        <v>9667.68</v>
      </c>
      <c r="J192" s="105">
        <f t="shared" si="28"/>
        <v>0.49679753340184996</v>
      </c>
      <c r="K192" s="292"/>
      <c r="L192" s="293"/>
      <c r="M192" s="316"/>
      <c r="N192" s="292"/>
      <c r="O192" s="293"/>
      <c r="P192" s="310"/>
    </row>
    <row r="193" spans="1:16" ht="20.25">
      <c r="A193" s="66"/>
      <c r="B193" s="45"/>
      <c r="C193" s="114">
        <v>4280</v>
      </c>
      <c r="D193" s="87" t="s">
        <v>102</v>
      </c>
      <c r="E193" s="51">
        <v>4760</v>
      </c>
      <c r="F193" s="324">
        <v>2121.6</v>
      </c>
      <c r="G193" s="276">
        <f t="shared" si="27"/>
        <v>0.4457142857142857</v>
      </c>
      <c r="H193" s="51">
        <v>4760</v>
      </c>
      <c r="I193" s="324">
        <v>2121.6</v>
      </c>
      <c r="J193" s="105">
        <f t="shared" si="28"/>
        <v>0.4457142857142857</v>
      </c>
      <c r="K193" s="292"/>
      <c r="L193" s="293"/>
      <c r="M193" s="316"/>
      <c r="N193" s="292"/>
      <c r="O193" s="293"/>
      <c r="P193" s="310"/>
    </row>
    <row r="194" spans="1:16" ht="20.25">
      <c r="A194" s="45"/>
      <c r="B194" s="84"/>
      <c r="C194" s="114">
        <v>4300</v>
      </c>
      <c r="D194" s="87" t="s">
        <v>45</v>
      </c>
      <c r="E194" s="51">
        <v>47450</v>
      </c>
      <c r="F194" s="324">
        <v>47427.54</v>
      </c>
      <c r="G194" s="276">
        <f t="shared" si="27"/>
        <v>0.9995266596417282</v>
      </c>
      <c r="H194" s="51">
        <v>47450</v>
      </c>
      <c r="I194" s="324">
        <v>47427.54</v>
      </c>
      <c r="J194" s="105">
        <f t="shared" si="28"/>
        <v>0.9995266596417282</v>
      </c>
      <c r="K194" s="292"/>
      <c r="L194" s="293"/>
      <c r="M194" s="316"/>
      <c r="N194" s="292"/>
      <c r="O194" s="293"/>
      <c r="P194" s="310"/>
    </row>
    <row r="195" spans="1:16" ht="20.25">
      <c r="A195" s="45"/>
      <c r="B195" s="84"/>
      <c r="C195" s="114">
        <v>4350</v>
      </c>
      <c r="D195" s="87" t="s">
        <v>104</v>
      </c>
      <c r="E195" s="51">
        <v>3200</v>
      </c>
      <c r="F195" s="324">
        <v>2492.14</v>
      </c>
      <c r="G195" s="276">
        <f t="shared" si="27"/>
        <v>0.77879375</v>
      </c>
      <c r="H195" s="51">
        <v>3200</v>
      </c>
      <c r="I195" s="324">
        <v>2492.14</v>
      </c>
      <c r="J195" s="105">
        <f t="shared" si="28"/>
        <v>0.77879375</v>
      </c>
      <c r="K195" s="292"/>
      <c r="L195" s="293"/>
      <c r="M195" s="316"/>
      <c r="N195" s="292"/>
      <c r="O195" s="293"/>
      <c r="P195" s="310"/>
    </row>
    <row r="196" spans="1:16" ht="40.5">
      <c r="A196" s="45"/>
      <c r="B196" s="84"/>
      <c r="C196" s="114">
        <v>4370</v>
      </c>
      <c r="D196" s="58" t="s">
        <v>191</v>
      </c>
      <c r="E196" s="51">
        <v>4970</v>
      </c>
      <c r="F196" s="324">
        <v>4674.55</v>
      </c>
      <c r="G196" s="276">
        <f t="shared" si="27"/>
        <v>0.9405533199195172</v>
      </c>
      <c r="H196" s="51">
        <v>4970</v>
      </c>
      <c r="I196" s="324">
        <v>4674.55</v>
      </c>
      <c r="J196" s="105"/>
      <c r="K196" s="292"/>
      <c r="L196" s="293"/>
      <c r="M196" s="316"/>
      <c r="N196" s="292"/>
      <c r="O196" s="293"/>
      <c r="P196" s="310"/>
    </row>
    <row r="197" spans="1:16" ht="20.25">
      <c r="A197" s="66"/>
      <c r="B197" s="84"/>
      <c r="C197" s="114">
        <v>4410</v>
      </c>
      <c r="D197" s="87" t="s">
        <v>56</v>
      </c>
      <c r="E197" s="51">
        <v>2300</v>
      </c>
      <c r="F197" s="324">
        <v>1354.91</v>
      </c>
      <c r="G197" s="276">
        <f t="shared" si="27"/>
        <v>0.5890913043478261</v>
      </c>
      <c r="H197" s="51">
        <v>2300</v>
      </c>
      <c r="I197" s="324">
        <v>1354.91</v>
      </c>
      <c r="J197" s="105">
        <f t="shared" si="28"/>
        <v>0.5890913043478261</v>
      </c>
      <c r="K197" s="292"/>
      <c r="L197" s="293"/>
      <c r="M197" s="316"/>
      <c r="N197" s="292"/>
      <c r="O197" s="293"/>
      <c r="P197" s="310"/>
    </row>
    <row r="198" spans="1:16" ht="20.25">
      <c r="A198" s="66"/>
      <c r="B198" s="84"/>
      <c r="C198" s="114">
        <v>4430</v>
      </c>
      <c r="D198" s="87" t="s">
        <v>54</v>
      </c>
      <c r="E198" s="51">
        <v>1700</v>
      </c>
      <c r="F198" s="324">
        <v>1598</v>
      </c>
      <c r="G198" s="276">
        <f>F198/E198</f>
        <v>0.94</v>
      </c>
      <c r="H198" s="51">
        <v>1700</v>
      </c>
      <c r="I198" s="324">
        <v>1598</v>
      </c>
      <c r="J198" s="105">
        <f>I198/H198</f>
        <v>0.94</v>
      </c>
      <c r="K198" s="292"/>
      <c r="L198" s="293"/>
      <c r="M198" s="316"/>
      <c r="N198" s="292"/>
      <c r="O198" s="293"/>
      <c r="P198" s="310"/>
    </row>
    <row r="199" spans="1:16" ht="20.25">
      <c r="A199" s="66"/>
      <c r="B199" s="45"/>
      <c r="C199" s="114">
        <v>4440</v>
      </c>
      <c r="D199" s="87" t="s">
        <v>129</v>
      </c>
      <c r="E199" s="51">
        <v>81810</v>
      </c>
      <c r="F199" s="324">
        <v>81810</v>
      </c>
      <c r="G199" s="276">
        <f t="shared" si="27"/>
        <v>1</v>
      </c>
      <c r="H199" s="51">
        <v>81810</v>
      </c>
      <c r="I199" s="324">
        <v>81810</v>
      </c>
      <c r="J199" s="105">
        <f t="shared" si="28"/>
        <v>1</v>
      </c>
      <c r="K199" s="292"/>
      <c r="L199" s="293"/>
      <c r="M199" s="316"/>
      <c r="N199" s="292"/>
      <c r="O199" s="293"/>
      <c r="P199" s="310"/>
    </row>
    <row r="200" spans="1:16" ht="20.25">
      <c r="A200" s="317"/>
      <c r="B200" s="211"/>
      <c r="C200" s="354">
        <v>4580</v>
      </c>
      <c r="D200" s="212" t="s">
        <v>24</v>
      </c>
      <c r="E200" s="213">
        <v>92</v>
      </c>
      <c r="F200" s="361">
        <v>90.59</v>
      </c>
      <c r="G200" s="355">
        <f t="shared" si="27"/>
        <v>0.9846739130434783</v>
      </c>
      <c r="H200" s="213">
        <v>92</v>
      </c>
      <c r="I200" s="361">
        <v>90.59</v>
      </c>
      <c r="J200" s="356">
        <f t="shared" si="28"/>
        <v>0.9846739130434783</v>
      </c>
      <c r="K200" s="357"/>
      <c r="L200" s="358"/>
      <c r="M200" s="359"/>
      <c r="N200" s="357"/>
      <c r="O200" s="358"/>
      <c r="P200" s="360"/>
    </row>
    <row r="201" spans="1:16" ht="21" thickBot="1">
      <c r="A201" s="253">
        <v>1</v>
      </c>
      <c r="B201" s="253">
        <v>2</v>
      </c>
      <c r="C201" s="253">
        <v>3</v>
      </c>
      <c r="D201" s="253">
        <v>4</v>
      </c>
      <c r="E201" s="254">
        <v>5</v>
      </c>
      <c r="F201" s="254">
        <v>6</v>
      </c>
      <c r="G201" s="255">
        <v>7</v>
      </c>
      <c r="H201" s="256">
        <v>8</v>
      </c>
      <c r="I201" s="254">
        <v>9</v>
      </c>
      <c r="J201" s="257">
        <v>10</v>
      </c>
      <c r="K201" s="258">
        <v>11</v>
      </c>
      <c r="L201" s="259">
        <v>12</v>
      </c>
      <c r="M201" s="255">
        <v>13</v>
      </c>
      <c r="N201" s="260">
        <v>14</v>
      </c>
      <c r="O201" s="261">
        <v>15</v>
      </c>
      <c r="P201" s="261">
        <v>16</v>
      </c>
    </row>
    <row r="202" spans="1:16" ht="46.5" customHeight="1" thickTop="1">
      <c r="A202" s="66"/>
      <c r="B202" s="45"/>
      <c r="C202" s="114">
        <v>4700</v>
      </c>
      <c r="D202" s="58" t="s">
        <v>190</v>
      </c>
      <c r="E202" s="51">
        <v>750</v>
      </c>
      <c r="F202" s="324">
        <v>320</v>
      </c>
      <c r="G202" s="276">
        <f t="shared" si="27"/>
        <v>0.4266666666666667</v>
      </c>
      <c r="H202" s="51">
        <v>750</v>
      </c>
      <c r="I202" s="324">
        <v>320</v>
      </c>
      <c r="J202" s="105">
        <f t="shared" si="28"/>
        <v>0.4266666666666667</v>
      </c>
      <c r="K202" s="292"/>
      <c r="L202" s="293"/>
      <c r="M202" s="316"/>
      <c r="N202" s="292"/>
      <c r="O202" s="293"/>
      <c r="P202" s="310"/>
    </row>
    <row r="203" spans="1:16" ht="40.5">
      <c r="A203" s="66"/>
      <c r="B203" s="45"/>
      <c r="C203" s="114">
        <v>4740</v>
      </c>
      <c r="D203" s="58" t="s">
        <v>182</v>
      </c>
      <c r="E203" s="51">
        <v>500</v>
      </c>
      <c r="F203" s="324">
        <v>160.06</v>
      </c>
      <c r="G203" s="276">
        <f t="shared" si="27"/>
        <v>0.32012</v>
      </c>
      <c r="H203" s="51">
        <v>500</v>
      </c>
      <c r="I203" s="324">
        <v>160.06</v>
      </c>
      <c r="J203" s="105">
        <f t="shared" si="28"/>
        <v>0.32012</v>
      </c>
      <c r="K203" s="292"/>
      <c r="L203" s="293"/>
      <c r="M203" s="316"/>
      <c r="N203" s="292"/>
      <c r="O203" s="293"/>
      <c r="P203" s="310"/>
    </row>
    <row r="204" spans="1:16" ht="40.5">
      <c r="A204" s="66"/>
      <c r="B204" s="45"/>
      <c r="C204" s="114">
        <v>4750</v>
      </c>
      <c r="D204" s="58" t="s">
        <v>183</v>
      </c>
      <c r="E204" s="51">
        <v>5300</v>
      </c>
      <c r="F204" s="324">
        <v>3398.52</v>
      </c>
      <c r="G204" s="276">
        <f t="shared" si="27"/>
        <v>0.6412301886792453</v>
      </c>
      <c r="H204" s="51">
        <v>5300</v>
      </c>
      <c r="I204" s="324">
        <v>3398.52</v>
      </c>
      <c r="J204" s="105">
        <f t="shared" si="28"/>
        <v>0.6412301886792453</v>
      </c>
      <c r="K204" s="292"/>
      <c r="L204" s="293"/>
      <c r="M204" s="316"/>
      <c r="N204" s="292"/>
      <c r="O204" s="293"/>
      <c r="P204" s="310"/>
    </row>
    <row r="205" spans="1:16" ht="20.25">
      <c r="A205" s="66"/>
      <c r="B205" s="45"/>
      <c r="C205" s="114">
        <v>6050</v>
      </c>
      <c r="D205" s="87" t="s">
        <v>73</v>
      </c>
      <c r="E205" s="51">
        <v>17900</v>
      </c>
      <c r="F205" s="324">
        <v>17874.34</v>
      </c>
      <c r="G205" s="276">
        <f t="shared" si="27"/>
        <v>0.9985664804469274</v>
      </c>
      <c r="H205" s="51">
        <v>17900</v>
      </c>
      <c r="I205" s="324">
        <v>17874.34</v>
      </c>
      <c r="J205" s="105">
        <f t="shared" si="28"/>
        <v>0.9985664804469274</v>
      </c>
      <c r="K205" s="292"/>
      <c r="L205" s="293"/>
      <c r="M205" s="316"/>
      <c r="N205" s="292"/>
      <c r="O205" s="293"/>
      <c r="P205" s="310"/>
    </row>
    <row r="206" spans="1:16" ht="20.25">
      <c r="A206" s="66"/>
      <c r="B206" s="78">
        <v>80103</v>
      </c>
      <c r="C206" s="116"/>
      <c r="D206" s="117" t="s">
        <v>101</v>
      </c>
      <c r="E206" s="79">
        <f>SUM(E207:E216)</f>
        <v>238930</v>
      </c>
      <c r="F206" s="79">
        <f>SUM(F207:F216)</f>
        <v>222501.61000000004</v>
      </c>
      <c r="G206" s="287">
        <f>F206/E206</f>
        <v>0.9312418281505045</v>
      </c>
      <c r="H206" s="79">
        <f>SUM(H207:H216)</f>
        <v>238930</v>
      </c>
      <c r="I206" s="79">
        <f>SUM(I207:I216)</f>
        <v>222501.61000000004</v>
      </c>
      <c r="J206" s="81">
        <f>I206/H206</f>
        <v>0.9312418281505045</v>
      </c>
      <c r="K206" s="305"/>
      <c r="L206" s="306"/>
      <c r="M206" s="307"/>
      <c r="N206" s="305"/>
      <c r="O206" s="306"/>
      <c r="P206" s="308"/>
    </row>
    <row r="207" spans="1:16" ht="20.25">
      <c r="A207" s="66"/>
      <c r="B207" s="45"/>
      <c r="C207" s="114">
        <v>3020</v>
      </c>
      <c r="D207" s="58" t="s">
        <v>128</v>
      </c>
      <c r="E207" s="51">
        <v>11710</v>
      </c>
      <c r="F207" s="324">
        <v>10942.76</v>
      </c>
      <c r="G207" s="276">
        <f t="shared" si="27"/>
        <v>0.9344799316823228</v>
      </c>
      <c r="H207" s="51">
        <v>11710</v>
      </c>
      <c r="I207" s="324">
        <v>10942.76</v>
      </c>
      <c r="J207" s="105">
        <f t="shared" si="28"/>
        <v>0.9344799316823228</v>
      </c>
      <c r="K207" s="292"/>
      <c r="L207" s="293"/>
      <c r="M207" s="316"/>
      <c r="N207" s="292"/>
      <c r="O207" s="293"/>
      <c r="P207" s="310"/>
    </row>
    <row r="208" spans="1:16" ht="20.25">
      <c r="A208" s="66"/>
      <c r="B208" s="45"/>
      <c r="C208" s="114">
        <v>4010</v>
      </c>
      <c r="D208" s="87" t="s">
        <v>48</v>
      </c>
      <c r="E208" s="51">
        <v>138320</v>
      </c>
      <c r="F208" s="324">
        <v>127852.28</v>
      </c>
      <c r="G208" s="276">
        <f t="shared" si="27"/>
        <v>0.9243224407171775</v>
      </c>
      <c r="H208" s="51">
        <v>138320</v>
      </c>
      <c r="I208" s="324">
        <v>127852.28</v>
      </c>
      <c r="J208" s="105">
        <f t="shared" si="28"/>
        <v>0.9243224407171775</v>
      </c>
      <c r="K208" s="292"/>
      <c r="L208" s="293"/>
      <c r="M208" s="316"/>
      <c r="N208" s="292"/>
      <c r="O208" s="293"/>
      <c r="P208" s="310"/>
    </row>
    <row r="209" spans="1:16" ht="20.25">
      <c r="A209" s="66"/>
      <c r="B209" s="45"/>
      <c r="C209" s="114">
        <v>4040</v>
      </c>
      <c r="D209" s="87" t="s">
        <v>49</v>
      </c>
      <c r="E209" s="51">
        <v>8950</v>
      </c>
      <c r="F209" s="324">
        <v>8614.13</v>
      </c>
      <c r="G209" s="276">
        <f t="shared" si="27"/>
        <v>0.9624726256983239</v>
      </c>
      <c r="H209" s="51">
        <v>8950</v>
      </c>
      <c r="I209" s="324">
        <v>8614.13</v>
      </c>
      <c r="J209" s="105">
        <f t="shared" si="28"/>
        <v>0.9624726256983239</v>
      </c>
      <c r="K209" s="292"/>
      <c r="L209" s="293"/>
      <c r="M209" s="316"/>
      <c r="N209" s="292"/>
      <c r="O209" s="293"/>
      <c r="P209" s="310"/>
    </row>
    <row r="210" spans="1:16" ht="20.25">
      <c r="A210" s="66"/>
      <c r="B210" s="45"/>
      <c r="C210" s="114">
        <v>4110</v>
      </c>
      <c r="D210" s="87" t="s">
        <v>50</v>
      </c>
      <c r="E210" s="51">
        <v>28800</v>
      </c>
      <c r="F210" s="324">
        <v>25400.45</v>
      </c>
      <c r="G210" s="276">
        <f t="shared" si="27"/>
        <v>0.8819600694444445</v>
      </c>
      <c r="H210" s="51">
        <v>28800</v>
      </c>
      <c r="I210" s="324">
        <v>25400.45</v>
      </c>
      <c r="J210" s="105">
        <f t="shared" si="28"/>
        <v>0.8819600694444445</v>
      </c>
      <c r="K210" s="292"/>
      <c r="L210" s="293"/>
      <c r="M210" s="316"/>
      <c r="N210" s="292"/>
      <c r="O210" s="293"/>
      <c r="P210" s="310"/>
    </row>
    <row r="211" spans="1:16" ht="20.25">
      <c r="A211" s="66"/>
      <c r="B211" s="45"/>
      <c r="C211" s="114">
        <v>4120</v>
      </c>
      <c r="D211" s="87" t="s">
        <v>51</v>
      </c>
      <c r="E211" s="51">
        <v>4040</v>
      </c>
      <c r="F211" s="324">
        <v>3564.2</v>
      </c>
      <c r="G211" s="276">
        <f t="shared" si="27"/>
        <v>0.8822277227722772</v>
      </c>
      <c r="H211" s="51">
        <v>4040</v>
      </c>
      <c r="I211" s="324">
        <v>3564.2</v>
      </c>
      <c r="J211" s="105">
        <f t="shared" si="28"/>
        <v>0.8822277227722772</v>
      </c>
      <c r="K211" s="292"/>
      <c r="L211" s="293"/>
      <c r="M211" s="316"/>
      <c r="N211" s="292"/>
      <c r="O211" s="293"/>
      <c r="P211" s="310"/>
    </row>
    <row r="212" spans="1:16" ht="21.75" customHeight="1">
      <c r="A212" s="66"/>
      <c r="B212" s="45"/>
      <c r="C212" s="114">
        <v>4240</v>
      </c>
      <c r="D212" s="58" t="s">
        <v>135</v>
      </c>
      <c r="E212" s="51">
        <v>1200</v>
      </c>
      <c r="F212" s="324">
        <v>1166.98</v>
      </c>
      <c r="G212" s="276">
        <f t="shared" si="27"/>
        <v>0.9724833333333334</v>
      </c>
      <c r="H212" s="51">
        <v>1200</v>
      </c>
      <c r="I212" s="324">
        <v>1166.98</v>
      </c>
      <c r="J212" s="105">
        <f t="shared" si="28"/>
        <v>0.9724833333333334</v>
      </c>
      <c r="K212" s="292"/>
      <c r="L212" s="293"/>
      <c r="M212" s="316"/>
      <c r="N212" s="292"/>
      <c r="O212" s="293"/>
      <c r="P212" s="310"/>
    </row>
    <row r="213" spans="1:16" ht="21.75" customHeight="1">
      <c r="A213" s="66"/>
      <c r="B213" s="45"/>
      <c r="C213" s="114">
        <v>4260</v>
      </c>
      <c r="D213" s="87" t="s">
        <v>53</v>
      </c>
      <c r="E213" s="51">
        <v>37200</v>
      </c>
      <c r="F213" s="324">
        <v>36735.28</v>
      </c>
      <c r="G213" s="276">
        <f t="shared" si="27"/>
        <v>0.9875075268817204</v>
      </c>
      <c r="H213" s="51">
        <v>37200</v>
      </c>
      <c r="I213" s="324">
        <v>36735.28</v>
      </c>
      <c r="J213" s="105">
        <f t="shared" si="28"/>
        <v>0.9875075268817204</v>
      </c>
      <c r="K213" s="292"/>
      <c r="L213" s="293"/>
      <c r="M213" s="316"/>
      <c r="N213" s="292"/>
      <c r="O213" s="293"/>
      <c r="P213" s="310"/>
    </row>
    <row r="214" spans="1:16" ht="20.25">
      <c r="A214" s="66"/>
      <c r="B214" s="45"/>
      <c r="C214" s="114">
        <v>4300</v>
      </c>
      <c r="D214" s="87" t="s">
        <v>45</v>
      </c>
      <c r="E214" s="51">
        <v>700</v>
      </c>
      <c r="F214" s="324">
        <v>315.53</v>
      </c>
      <c r="G214" s="276">
        <f t="shared" si="27"/>
        <v>0.4507571428571428</v>
      </c>
      <c r="H214" s="51">
        <v>700</v>
      </c>
      <c r="I214" s="324">
        <v>315.53</v>
      </c>
      <c r="J214" s="105">
        <f t="shared" si="28"/>
        <v>0.4507571428571428</v>
      </c>
      <c r="K214" s="292"/>
      <c r="L214" s="293"/>
      <c r="M214" s="316"/>
      <c r="N214" s="292"/>
      <c r="O214" s="293"/>
      <c r="P214" s="310"/>
    </row>
    <row r="215" spans="1:16" ht="20.25">
      <c r="A215" s="66"/>
      <c r="B215" s="45"/>
      <c r="C215" s="114">
        <v>4410</v>
      </c>
      <c r="D215" s="87" t="s">
        <v>56</v>
      </c>
      <c r="E215" s="51">
        <v>100</v>
      </c>
      <c r="F215" s="324">
        <v>0</v>
      </c>
      <c r="G215" s="276">
        <f t="shared" si="27"/>
        <v>0</v>
      </c>
      <c r="H215" s="51">
        <v>100</v>
      </c>
      <c r="I215" s="324">
        <v>0</v>
      </c>
      <c r="J215" s="105">
        <f t="shared" si="28"/>
        <v>0</v>
      </c>
      <c r="K215" s="292"/>
      <c r="L215" s="293"/>
      <c r="M215" s="316"/>
      <c r="N215" s="292"/>
      <c r="O215" s="293"/>
      <c r="P215" s="310"/>
    </row>
    <row r="216" spans="1:16" ht="20.25">
      <c r="A216" s="66"/>
      <c r="B216" s="45"/>
      <c r="C216" s="114">
        <v>4440</v>
      </c>
      <c r="D216" s="87" t="s">
        <v>129</v>
      </c>
      <c r="E216" s="51">
        <v>7910</v>
      </c>
      <c r="F216" s="324">
        <v>7910</v>
      </c>
      <c r="G216" s="276">
        <f t="shared" si="27"/>
        <v>1</v>
      </c>
      <c r="H216" s="51">
        <v>7910</v>
      </c>
      <c r="I216" s="324">
        <v>7910</v>
      </c>
      <c r="J216" s="105">
        <f t="shared" si="28"/>
        <v>1</v>
      </c>
      <c r="K216" s="292"/>
      <c r="L216" s="293"/>
      <c r="M216" s="316"/>
      <c r="N216" s="292"/>
      <c r="O216" s="293"/>
      <c r="P216" s="310"/>
    </row>
    <row r="217" spans="1:16" ht="20.25">
      <c r="A217" s="66"/>
      <c r="B217" s="78">
        <v>80104</v>
      </c>
      <c r="C217" s="116"/>
      <c r="D217" s="78" t="s">
        <v>78</v>
      </c>
      <c r="E217" s="79">
        <f>SUM(E218:E231)</f>
        <v>159780</v>
      </c>
      <c r="F217" s="79">
        <f>SUM(F218:F231)</f>
        <v>141569.06</v>
      </c>
      <c r="G217" s="287">
        <f>F217/E217</f>
        <v>0.886024909250219</v>
      </c>
      <c r="H217" s="79">
        <f>SUM(H218:H231)</f>
        <v>159780</v>
      </c>
      <c r="I217" s="79">
        <f>SUM(I218:I231)</f>
        <v>141569.06</v>
      </c>
      <c r="J217" s="81">
        <f>I217/H217</f>
        <v>0.886024909250219</v>
      </c>
      <c r="K217" s="305"/>
      <c r="L217" s="306"/>
      <c r="M217" s="307"/>
      <c r="N217" s="305"/>
      <c r="O217" s="306"/>
      <c r="P217" s="308"/>
    </row>
    <row r="218" spans="1:16" ht="20.25">
      <c r="A218" s="66"/>
      <c r="B218" s="45"/>
      <c r="C218" s="114">
        <v>3020</v>
      </c>
      <c r="D218" s="138" t="s">
        <v>128</v>
      </c>
      <c r="E218" s="51">
        <v>7180</v>
      </c>
      <c r="F218" s="324">
        <v>6768.26</v>
      </c>
      <c r="G218" s="276">
        <f aca="true" t="shared" si="29" ref="G218:G230">F218/E218</f>
        <v>0.9426545961002786</v>
      </c>
      <c r="H218" s="51">
        <v>7180</v>
      </c>
      <c r="I218" s="324">
        <v>6768.26</v>
      </c>
      <c r="J218" s="105">
        <f aca="true" t="shared" si="30" ref="J218:J230">I218/H218</f>
        <v>0.9426545961002786</v>
      </c>
      <c r="K218" s="292"/>
      <c r="L218" s="293"/>
      <c r="M218" s="316"/>
      <c r="N218" s="292"/>
      <c r="O218" s="293"/>
      <c r="P218" s="310"/>
    </row>
    <row r="219" spans="1:16" ht="20.25">
      <c r="A219" s="66"/>
      <c r="B219" s="45"/>
      <c r="C219" s="114">
        <v>4010</v>
      </c>
      <c r="D219" s="346" t="s">
        <v>48</v>
      </c>
      <c r="E219" s="51">
        <v>86220</v>
      </c>
      <c r="F219" s="324">
        <v>77899.79</v>
      </c>
      <c r="G219" s="276">
        <f t="shared" si="29"/>
        <v>0.9035002319647413</v>
      </c>
      <c r="H219" s="51">
        <v>86220</v>
      </c>
      <c r="I219" s="324">
        <v>77899.79</v>
      </c>
      <c r="J219" s="105">
        <f t="shared" si="30"/>
        <v>0.9035002319647413</v>
      </c>
      <c r="K219" s="292"/>
      <c r="L219" s="293"/>
      <c r="M219" s="316"/>
      <c r="N219" s="292"/>
      <c r="O219" s="293"/>
      <c r="P219" s="310"/>
    </row>
    <row r="220" spans="1:16" ht="20.25">
      <c r="A220" s="66"/>
      <c r="B220" s="45"/>
      <c r="C220" s="114">
        <v>4040</v>
      </c>
      <c r="D220" s="346" t="s">
        <v>49</v>
      </c>
      <c r="E220" s="51">
        <v>5050</v>
      </c>
      <c r="F220" s="324">
        <v>3819.81</v>
      </c>
      <c r="G220" s="276">
        <f t="shared" si="29"/>
        <v>0.7563980198019802</v>
      </c>
      <c r="H220" s="51">
        <v>5050</v>
      </c>
      <c r="I220" s="324">
        <v>3819.81</v>
      </c>
      <c r="J220" s="105">
        <f t="shared" si="30"/>
        <v>0.7563980198019802</v>
      </c>
      <c r="K220" s="292"/>
      <c r="L220" s="293"/>
      <c r="M220" s="316"/>
      <c r="N220" s="292"/>
      <c r="O220" s="293"/>
      <c r="P220" s="310"/>
    </row>
    <row r="221" spans="1:16" ht="20.25">
      <c r="A221" s="66"/>
      <c r="B221" s="45"/>
      <c r="C221" s="114">
        <v>4110</v>
      </c>
      <c r="D221" s="346" t="s">
        <v>50</v>
      </c>
      <c r="E221" s="51">
        <v>17110</v>
      </c>
      <c r="F221" s="324">
        <v>15178.89</v>
      </c>
      <c r="G221" s="276">
        <f t="shared" si="29"/>
        <v>0.887135593220339</v>
      </c>
      <c r="H221" s="51">
        <v>17110</v>
      </c>
      <c r="I221" s="324">
        <v>15178.89</v>
      </c>
      <c r="J221" s="105">
        <f t="shared" si="30"/>
        <v>0.887135593220339</v>
      </c>
      <c r="K221" s="292"/>
      <c r="L221" s="293"/>
      <c r="M221" s="316"/>
      <c r="N221" s="292"/>
      <c r="O221" s="293"/>
      <c r="P221" s="310"/>
    </row>
    <row r="222" spans="1:16" ht="20.25">
      <c r="A222" s="66"/>
      <c r="B222" s="45"/>
      <c r="C222" s="114">
        <v>4120</v>
      </c>
      <c r="D222" s="346" t="s">
        <v>51</v>
      </c>
      <c r="E222" s="51">
        <v>2400</v>
      </c>
      <c r="F222" s="324">
        <v>2129.91</v>
      </c>
      <c r="G222" s="276">
        <f t="shared" si="29"/>
        <v>0.8874624999999999</v>
      </c>
      <c r="H222" s="51">
        <v>2400</v>
      </c>
      <c r="I222" s="324">
        <v>2129.91</v>
      </c>
      <c r="J222" s="105">
        <f t="shared" si="30"/>
        <v>0.8874624999999999</v>
      </c>
      <c r="K222" s="292"/>
      <c r="L222" s="293"/>
      <c r="M222" s="316"/>
      <c r="N222" s="292"/>
      <c r="O222" s="293"/>
      <c r="P222" s="310"/>
    </row>
    <row r="223" spans="1:16" ht="20.25">
      <c r="A223" s="66"/>
      <c r="B223" s="45"/>
      <c r="C223" s="114">
        <v>4210</v>
      </c>
      <c r="D223" s="346" t="s">
        <v>43</v>
      </c>
      <c r="E223" s="51">
        <v>7800</v>
      </c>
      <c r="F223" s="324">
        <v>2472.49</v>
      </c>
      <c r="G223" s="276">
        <f t="shared" si="29"/>
        <v>0.3169858974358974</v>
      </c>
      <c r="H223" s="51">
        <v>7800</v>
      </c>
      <c r="I223" s="324">
        <v>2472.49</v>
      </c>
      <c r="J223" s="105">
        <f t="shared" si="30"/>
        <v>0.3169858974358974</v>
      </c>
      <c r="K223" s="292"/>
      <c r="L223" s="293"/>
      <c r="M223" s="316"/>
      <c r="N223" s="292"/>
      <c r="O223" s="293"/>
      <c r="P223" s="310"/>
    </row>
    <row r="224" spans="1:16" ht="21.75" customHeight="1">
      <c r="A224" s="66"/>
      <c r="B224" s="45"/>
      <c r="C224" s="114">
        <v>4240</v>
      </c>
      <c r="D224" s="138" t="s">
        <v>135</v>
      </c>
      <c r="E224" s="51">
        <v>500</v>
      </c>
      <c r="F224" s="324">
        <v>279.9</v>
      </c>
      <c r="G224" s="276">
        <f t="shared" si="29"/>
        <v>0.5598</v>
      </c>
      <c r="H224" s="51">
        <v>500</v>
      </c>
      <c r="I224" s="324">
        <v>279.9</v>
      </c>
      <c r="J224" s="105">
        <f t="shared" si="30"/>
        <v>0.5598</v>
      </c>
      <c r="K224" s="292"/>
      <c r="L224" s="293"/>
      <c r="M224" s="316"/>
      <c r="N224" s="292"/>
      <c r="O224" s="293"/>
      <c r="P224" s="310"/>
    </row>
    <row r="225" spans="1:16" ht="20.25">
      <c r="A225" s="66"/>
      <c r="B225" s="45"/>
      <c r="C225" s="114">
        <v>4260</v>
      </c>
      <c r="D225" s="346" t="s">
        <v>53</v>
      </c>
      <c r="E225" s="51">
        <v>10900</v>
      </c>
      <c r="F225" s="324">
        <v>10762.42</v>
      </c>
      <c r="G225" s="276">
        <f t="shared" si="29"/>
        <v>0.9873779816513761</v>
      </c>
      <c r="H225" s="51">
        <v>10900</v>
      </c>
      <c r="I225" s="324">
        <v>10762.42</v>
      </c>
      <c r="J225" s="105">
        <f t="shared" si="30"/>
        <v>0.9873779816513761</v>
      </c>
      <c r="K225" s="292"/>
      <c r="L225" s="293"/>
      <c r="M225" s="316"/>
      <c r="N225" s="292"/>
      <c r="O225" s="293"/>
      <c r="P225" s="310"/>
    </row>
    <row r="226" spans="1:16" ht="20.25">
      <c r="A226" s="66"/>
      <c r="B226" s="45"/>
      <c r="C226" s="114">
        <v>4270</v>
      </c>
      <c r="D226" s="346" t="s">
        <v>44</v>
      </c>
      <c r="E226" s="51">
        <v>14700</v>
      </c>
      <c r="F226" s="324">
        <v>14684.49</v>
      </c>
      <c r="G226" s="276">
        <f t="shared" si="29"/>
        <v>0.9989448979591836</v>
      </c>
      <c r="H226" s="51">
        <v>14700</v>
      </c>
      <c r="I226" s="324">
        <v>14684.49</v>
      </c>
      <c r="J226" s="105"/>
      <c r="K226" s="292"/>
      <c r="L226" s="293"/>
      <c r="M226" s="316"/>
      <c r="N226" s="292"/>
      <c r="O226" s="293"/>
      <c r="P226" s="310"/>
    </row>
    <row r="227" spans="1:16" ht="20.25">
      <c r="A227" s="66"/>
      <c r="B227" s="45"/>
      <c r="C227" s="114">
        <v>4280</v>
      </c>
      <c r="D227" s="346" t="s">
        <v>102</v>
      </c>
      <c r="E227" s="51">
        <v>340</v>
      </c>
      <c r="F227" s="324">
        <v>290</v>
      </c>
      <c r="G227" s="276">
        <f t="shared" si="29"/>
        <v>0.8529411764705882</v>
      </c>
      <c r="H227" s="51">
        <v>340</v>
      </c>
      <c r="I227" s="324">
        <v>290</v>
      </c>
      <c r="J227" s="105">
        <f t="shared" si="30"/>
        <v>0.8529411764705882</v>
      </c>
      <c r="K227" s="292"/>
      <c r="L227" s="293"/>
      <c r="M227" s="316"/>
      <c r="N227" s="292"/>
      <c r="O227" s="293"/>
      <c r="P227" s="310"/>
    </row>
    <row r="228" spans="1:16" ht="21" customHeight="1">
      <c r="A228" s="66"/>
      <c r="B228" s="45"/>
      <c r="C228" s="114">
        <v>4300</v>
      </c>
      <c r="D228" s="346" t="s">
        <v>45</v>
      </c>
      <c r="E228" s="51">
        <v>1000</v>
      </c>
      <c r="F228" s="324">
        <v>934.29</v>
      </c>
      <c r="G228" s="276">
        <f t="shared" si="29"/>
        <v>0.93429</v>
      </c>
      <c r="H228" s="51">
        <v>1000</v>
      </c>
      <c r="I228" s="324">
        <v>934.29</v>
      </c>
      <c r="J228" s="105">
        <f t="shared" si="30"/>
        <v>0.93429</v>
      </c>
      <c r="K228" s="292"/>
      <c r="L228" s="293"/>
      <c r="M228" s="316"/>
      <c r="N228" s="292"/>
      <c r="O228" s="293"/>
      <c r="P228" s="310"/>
    </row>
    <row r="229" spans="1:16" ht="40.5">
      <c r="A229" s="66"/>
      <c r="B229" s="45"/>
      <c r="C229" s="114">
        <v>4370</v>
      </c>
      <c r="D229" s="58" t="s">
        <v>191</v>
      </c>
      <c r="E229" s="51">
        <v>1400</v>
      </c>
      <c r="F229" s="324">
        <v>1268.81</v>
      </c>
      <c r="G229" s="276">
        <f>F229/E229</f>
        <v>0.9062928571428571</v>
      </c>
      <c r="H229" s="51">
        <v>1400</v>
      </c>
      <c r="I229" s="324">
        <v>1268.81</v>
      </c>
      <c r="J229" s="105">
        <f>I229/H229</f>
        <v>0.9062928571428571</v>
      </c>
      <c r="K229" s="292"/>
      <c r="L229" s="293"/>
      <c r="M229" s="316"/>
      <c r="N229" s="292"/>
      <c r="O229" s="293"/>
      <c r="P229" s="310"/>
    </row>
    <row r="230" spans="1:16" ht="20.25">
      <c r="A230" s="66"/>
      <c r="B230" s="45"/>
      <c r="C230" s="114">
        <v>4410</v>
      </c>
      <c r="D230" s="346" t="s">
        <v>56</v>
      </c>
      <c r="E230" s="51">
        <v>100</v>
      </c>
      <c r="F230" s="324">
        <v>0</v>
      </c>
      <c r="G230" s="276">
        <f t="shared" si="29"/>
        <v>0</v>
      </c>
      <c r="H230" s="51">
        <v>100</v>
      </c>
      <c r="I230" s="324">
        <v>0</v>
      </c>
      <c r="J230" s="105">
        <f t="shared" si="30"/>
        <v>0</v>
      </c>
      <c r="K230" s="292"/>
      <c r="L230" s="293"/>
      <c r="M230" s="316"/>
      <c r="N230" s="292"/>
      <c r="O230" s="293"/>
      <c r="P230" s="310"/>
    </row>
    <row r="231" spans="1:16" ht="20.25">
      <c r="A231" s="66"/>
      <c r="B231" s="45"/>
      <c r="C231" s="114">
        <v>4440</v>
      </c>
      <c r="D231" s="346" t="s">
        <v>129</v>
      </c>
      <c r="E231" s="51">
        <v>5080</v>
      </c>
      <c r="F231" s="324">
        <v>5080</v>
      </c>
      <c r="G231" s="276">
        <f>F231/E231</f>
        <v>1</v>
      </c>
      <c r="H231" s="51">
        <v>5080</v>
      </c>
      <c r="I231" s="324">
        <v>5080</v>
      </c>
      <c r="J231" s="105">
        <f>I231/H231</f>
        <v>1</v>
      </c>
      <c r="K231" s="292"/>
      <c r="L231" s="293"/>
      <c r="M231" s="316"/>
      <c r="N231" s="292"/>
      <c r="O231" s="293"/>
      <c r="P231" s="310"/>
    </row>
    <row r="232" spans="1:16" ht="20.25">
      <c r="A232" s="66"/>
      <c r="B232" s="78">
        <v>80110</v>
      </c>
      <c r="C232" s="116"/>
      <c r="D232" s="78" t="s">
        <v>39</v>
      </c>
      <c r="E232" s="79">
        <f>SUM(E233:E255)-E244</f>
        <v>1329550</v>
      </c>
      <c r="F232" s="79">
        <f>SUM(F233:F255)-F244</f>
        <v>1304588.3300000003</v>
      </c>
      <c r="G232" s="287">
        <f>F232/E232</f>
        <v>0.9812254747847018</v>
      </c>
      <c r="H232" s="79">
        <f>SUM(H233:H255)-H244</f>
        <v>1329550</v>
      </c>
      <c r="I232" s="79">
        <f>SUM(I233:I255)-I244</f>
        <v>1304588.3300000003</v>
      </c>
      <c r="J232" s="81">
        <f>I232/H232</f>
        <v>0.9812254747847018</v>
      </c>
      <c r="K232" s="289"/>
      <c r="L232" s="79"/>
      <c r="M232" s="290"/>
      <c r="N232" s="289"/>
      <c r="O232" s="79"/>
      <c r="P232" s="125"/>
    </row>
    <row r="233" spans="1:16" ht="20.25">
      <c r="A233" s="45"/>
      <c r="B233" s="84"/>
      <c r="C233" s="114">
        <v>3020</v>
      </c>
      <c r="D233" s="58" t="s">
        <v>128</v>
      </c>
      <c r="E233" s="51">
        <v>67850</v>
      </c>
      <c r="F233" s="324">
        <v>67389.44</v>
      </c>
      <c r="G233" s="276">
        <f aca="true" t="shared" si="31" ref="G233:G254">F233/E233</f>
        <v>0.9932120854826825</v>
      </c>
      <c r="H233" s="51">
        <v>67850</v>
      </c>
      <c r="I233" s="324">
        <v>67389.44</v>
      </c>
      <c r="J233" s="105">
        <f aca="true" t="shared" si="32" ref="J233:J254">I233/H233</f>
        <v>0.9932120854826825</v>
      </c>
      <c r="K233" s="292"/>
      <c r="L233" s="293"/>
      <c r="M233" s="316"/>
      <c r="N233" s="292"/>
      <c r="O233" s="293"/>
      <c r="P233" s="310"/>
    </row>
    <row r="234" spans="1:16" ht="20.25">
      <c r="A234" s="45"/>
      <c r="B234" s="84"/>
      <c r="C234" s="114">
        <v>4010</v>
      </c>
      <c r="D234" s="87" t="s">
        <v>48</v>
      </c>
      <c r="E234" s="51">
        <v>697350</v>
      </c>
      <c r="F234" s="324">
        <v>694968.46</v>
      </c>
      <c r="G234" s="276">
        <f t="shared" si="31"/>
        <v>0.996584871298487</v>
      </c>
      <c r="H234" s="51">
        <v>697350</v>
      </c>
      <c r="I234" s="324">
        <v>694968.46</v>
      </c>
      <c r="J234" s="105">
        <f t="shared" si="32"/>
        <v>0.996584871298487</v>
      </c>
      <c r="K234" s="292"/>
      <c r="L234" s="293"/>
      <c r="M234" s="316"/>
      <c r="N234" s="292"/>
      <c r="O234" s="293"/>
      <c r="P234" s="310"/>
    </row>
    <row r="235" spans="1:16" ht="20.25">
      <c r="A235" s="45"/>
      <c r="B235" s="84"/>
      <c r="C235" s="114">
        <v>4040</v>
      </c>
      <c r="D235" s="87" t="s">
        <v>49</v>
      </c>
      <c r="E235" s="51">
        <v>56300</v>
      </c>
      <c r="F235" s="324">
        <v>55241.64</v>
      </c>
      <c r="G235" s="276">
        <f t="shared" si="31"/>
        <v>0.9812014209591474</v>
      </c>
      <c r="H235" s="51">
        <v>56300</v>
      </c>
      <c r="I235" s="324">
        <v>55241.64</v>
      </c>
      <c r="J235" s="105">
        <f t="shared" si="32"/>
        <v>0.9812014209591474</v>
      </c>
      <c r="K235" s="292"/>
      <c r="L235" s="293"/>
      <c r="M235" s="316"/>
      <c r="N235" s="292"/>
      <c r="O235" s="293"/>
      <c r="P235" s="310"/>
    </row>
    <row r="236" spans="1:16" ht="20.25">
      <c r="A236" s="45"/>
      <c r="B236" s="84"/>
      <c r="C236" s="114">
        <v>4110</v>
      </c>
      <c r="D236" s="87" t="s">
        <v>50</v>
      </c>
      <c r="E236" s="51">
        <v>143540</v>
      </c>
      <c r="F236" s="324">
        <v>134241.89</v>
      </c>
      <c r="G236" s="276">
        <f t="shared" si="31"/>
        <v>0.935222864706702</v>
      </c>
      <c r="H236" s="51">
        <v>143540</v>
      </c>
      <c r="I236" s="324">
        <v>134241.89</v>
      </c>
      <c r="J236" s="105">
        <f t="shared" si="32"/>
        <v>0.935222864706702</v>
      </c>
      <c r="K236" s="292"/>
      <c r="L236" s="293"/>
      <c r="M236" s="316"/>
      <c r="N236" s="292"/>
      <c r="O236" s="293"/>
      <c r="P236" s="310"/>
    </row>
    <row r="237" spans="1:16" ht="20.25">
      <c r="A237" s="45"/>
      <c r="B237" s="84"/>
      <c r="C237" s="114">
        <v>4120</v>
      </c>
      <c r="D237" s="87" t="s">
        <v>51</v>
      </c>
      <c r="E237" s="51">
        <v>20140</v>
      </c>
      <c r="F237" s="324">
        <v>17710.05</v>
      </c>
      <c r="G237" s="276">
        <f t="shared" si="31"/>
        <v>0.8793470705064548</v>
      </c>
      <c r="H237" s="51">
        <v>20140</v>
      </c>
      <c r="I237" s="324">
        <v>17710.05</v>
      </c>
      <c r="J237" s="105">
        <f t="shared" si="32"/>
        <v>0.8793470705064548</v>
      </c>
      <c r="K237" s="292"/>
      <c r="L237" s="293"/>
      <c r="M237" s="316"/>
      <c r="N237" s="292"/>
      <c r="O237" s="293"/>
      <c r="P237" s="310"/>
    </row>
    <row r="238" spans="1:16" ht="20.25">
      <c r="A238" s="66"/>
      <c r="B238" s="45"/>
      <c r="C238" s="114">
        <v>4140</v>
      </c>
      <c r="D238" s="87" t="s">
        <v>52</v>
      </c>
      <c r="E238" s="51">
        <v>10320</v>
      </c>
      <c r="F238" s="324">
        <v>9032</v>
      </c>
      <c r="G238" s="276">
        <f t="shared" si="31"/>
        <v>0.8751937984496124</v>
      </c>
      <c r="H238" s="51">
        <v>10320</v>
      </c>
      <c r="I238" s="324">
        <v>9032</v>
      </c>
      <c r="J238" s="105">
        <f t="shared" si="32"/>
        <v>0.8751937984496124</v>
      </c>
      <c r="K238" s="292"/>
      <c r="L238" s="293"/>
      <c r="M238" s="316"/>
      <c r="N238" s="292"/>
      <c r="O238" s="293"/>
      <c r="P238" s="310"/>
    </row>
    <row r="239" spans="1:16" ht="20.25">
      <c r="A239" s="66"/>
      <c r="B239" s="45"/>
      <c r="C239" s="114">
        <v>4170</v>
      </c>
      <c r="D239" s="87" t="s">
        <v>98</v>
      </c>
      <c r="E239" s="51">
        <v>400</v>
      </c>
      <c r="F239" s="324">
        <v>0</v>
      </c>
      <c r="G239" s="276">
        <f t="shared" si="31"/>
        <v>0</v>
      </c>
      <c r="H239" s="51">
        <v>400</v>
      </c>
      <c r="I239" s="324">
        <v>0</v>
      </c>
      <c r="J239" s="105">
        <f t="shared" si="32"/>
        <v>0</v>
      </c>
      <c r="K239" s="292"/>
      <c r="L239" s="293"/>
      <c r="M239" s="316"/>
      <c r="N239" s="292"/>
      <c r="O239" s="293"/>
      <c r="P239" s="310"/>
    </row>
    <row r="240" spans="1:16" ht="20.25">
      <c r="A240" s="45"/>
      <c r="B240" s="84"/>
      <c r="C240" s="114">
        <v>4210</v>
      </c>
      <c r="D240" s="87" t="s">
        <v>43</v>
      </c>
      <c r="E240" s="51">
        <v>27600</v>
      </c>
      <c r="F240" s="324">
        <v>27547.52</v>
      </c>
      <c r="G240" s="276">
        <f t="shared" si="31"/>
        <v>0.9980985507246377</v>
      </c>
      <c r="H240" s="51">
        <v>27600</v>
      </c>
      <c r="I240" s="324">
        <v>27547.52</v>
      </c>
      <c r="J240" s="105">
        <f t="shared" si="32"/>
        <v>0.9980985507246377</v>
      </c>
      <c r="K240" s="292"/>
      <c r="L240" s="293"/>
      <c r="M240" s="316"/>
      <c r="N240" s="292"/>
      <c r="O240" s="293"/>
      <c r="P240" s="310"/>
    </row>
    <row r="241" spans="1:16" ht="21.75" customHeight="1">
      <c r="A241" s="45"/>
      <c r="B241" s="84"/>
      <c r="C241" s="114">
        <v>4240</v>
      </c>
      <c r="D241" s="58" t="s">
        <v>135</v>
      </c>
      <c r="E241" s="51">
        <v>17500</v>
      </c>
      <c r="F241" s="324">
        <v>17491.5</v>
      </c>
      <c r="G241" s="276">
        <f t="shared" si="31"/>
        <v>0.9995142857142857</v>
      </c>
      <c r="H241" s="51">
        <v>17500</v>
      </c>
      <c r="I241" s="324">
        <v>17491.5</v>
      </c>
      <c r="J241" s="105">
        <f t="shared" si="32"/>
        <v>0.9995142857142857</v>
      </c>
      <c r="K241" s="292"/>
      <c r="L241" s="293"/>
      <c r="M241" s="316"/>
      <c r="N241" s="292"/>
      <c r="O241" s="293"/>
      <c r="P241" s="310"/>
    </row>
    <row r="242" spans="1:16" ht="20.25">
      <c r="A242" s="45"/>
      <c r="B242" s="84"/>
      <c r="C242" s="114">
        <v>4260</v>
      </c>
      <c r="D242" s="87" t="s">
        <v>53</v>
      </c>
      <c r="E242" s="51">
        <v>199250</v>
      </c>
      <c r="F242" s="324">
        <v>197016.33</v>
      </c>
      <c r="G242" s="276">
        <f t="shared" si="31"/>
        <v>0.9887896110414052</v>
      </c>
      <c r="H242" s="51">
        <v>199250</v>
      </c>
      <c r="I242" s="324">
        <v>197016.33</v>
      </c>
      <c r="J242" s="105">
        <f t="shared" si="32"/>
        <v>0.9887896110414052</v>
      </c>
      <c r="K242" s="292"/>
      <c r="L242" s="293"/>
      <c r="M242" s="316"/>
      <c r="N242" s="292"/>
      <c r="O242" s="293"/>
      <c r="P242" s="310"/>
    </row>
    <row r="243" spans="1:16" ht="20.25">
      <c r="A243" s="211"/>
      <c r="B243" s="210"/>
      <c r="C243" s="354">
        <v>4270</v>
      </c>
      <c r="D243" s="212" t="s">
        <v>44</v>
      </c>
      <c r="E243" s="213">
        <v>4000</v>
      </c>
      <c r="F243" s="361">
        <v>2477.11</v>
      </c>
      <c r="G243" s="355">
        <f t="shared" si="31"/>
        <v>0.6192775</v>
      </c>
      <c r="H243" s="213">
        <v>4000</v>
      </c>
      <c r="I243" s="361">
        <v>2477.11</v>
      </c>
      <c r="J243" s="356">
        <f t="shared" si="32"/>
        <v>0.6192775</v>
      </c>
      <c r="K243" s="357"/>
      <c r="L243" s="358"/>
      <c r="M243" s="359"/>
      <c r="N243" s="357"/>
      <c r="O243" s="358"/>
      <c r="P243" s="360"/>
    </row>
    <row r="244" spans="1:16" ht="21" thickBot="1">
      <c r="A244" s="253">
        <v>1</v>
      </c>
      <c r="B244" s="253">
        <v>2</v>
      </c>
      <c r="C244" s="253">
        <v>3</v>
      </c>
      <c r="D244" s="253">
        <v>4</v>
      </c>
      <c r="E244" s="254">
        <v>5</v>
      </c>
      <c r="F244" s="254">
        <v>6</v>
      </c>
      <c r="G244" s="255">
        <v>7</v>
      </c>
      <c r="H244" s="256">
        <v>8</v>
      </c>
      <c r="I244" s="254">
        <v>9</v>
      </c>
      <c r="J244" s="257">
        <v>10</v>
      </c>
      <c r="K244" s="258">
        <v>11</v>
      </c>
      <c r="L244" s="259">
        <v>12</v>
      </c>
      <c r="M244" s="255">
        <v>13</v>
      </c>
      <c r="N244" s="260">
        <v>14</v>
      </c>
      <c r="O244" s="261">
        <v>15</v>
      </c>
      <c r="P244" s="261">
        <v>16</v>
      </c>
    </row>
    <row r="245" spans="1:16" ht="21" thickTop="1">
      <c r="A245" s="45"/>
      <c r="B245" s="84"/>
      <c r="C245" s="114">
        <v>4280</v>
      </c>
      <c r="D245" s="87" t="s">
        <v>102</v>
      </c>
      <c r="E245" s="51">
        <v>1200</v>
      </c>
      <c r="F245" s="324">
        <v>1125</v>
      </c>
      <c r="G245" s="276">
        <f t="shared" si="31"/>
        <v>0.9375</v>
      </c>
      <c r="H245" s="51">
        <v>1200</v>
      </c>
      <c r="I245" s="324">
        <v>1125</v>
      </c>
      <c r="J245" s="105">
        <f t="shared" si="32"/>
        <v>0.9375</v>
      </c>
      <c r="K245" s="292"/>
      <c r="L245" s="293"/>
      <c r="M245" s="316"/>
      <c r="N245" s="292"/>
      <c r="O245" s="293"/>
      <c r="P245" s="310"/>
    </row>
    <row r="246" spans="1:16" ht="20.25">
      <c r="A246" s="45"/>
      <c r="B246" s="84"/>
      <c r="C246" s="114">
        <v>4300</v>
      </c>
      <c r="D246" s="87" t="s">
        <v>45</v>
      </c>
      <c r="E246" s="51">
        <v>21480</v>
      </c>
      <c r="F246" s="324">
        <v>21470.77</v>
      </c>
      <c r="G246" s="276">
        <f t="shared" si="31"/>
        <v>0.9995702979515829</v>
      </c>
      <c r="H246" s="51">
        <v>21480</v>
      </c>
      <c r="I246" s="324">
        <v>21470.77</v>
      </c>
      <c r="J246" s="105">
        <f t="shared" si="32"/>
        <v>0.9995702979515829</v>
      </c>
      <c r="K246" s="292"/>
      <c r="L246" s="293"/>
      <c r="M246" s="316"/>
      <c r="N246" s="292"/>
      <c r="O246" s="293"/>
      <c r="P246" s="310"/>
    </row>
    <row r="247" spans="1:16" ht="20.25">
      <c r="A247" s="45"/>
      <c r="B247" s="84"/>
      <c r="C247" s="114">
        <v>4350</v>
      </c>
      <c r="D247" s="87" t="s">
        <v>104</v>
      </c>
      <c r="E247" s="51">
        <v>1450</v>
      </c>
      <c r="F247" s="324">
        <v>1305.72</v>
      </c>
      <c r="G247" s="276">
        <f t="shared" si="31"/>
        <v>0.9004965517241379</v>
      </c>
      <c r="H247" s="51">
        <v>1450</v>
      </c>
      <c r="I247" s="324">
        <v>1305.72</v>
      </c>
      <c r="J247" s="105">
        <f t="shared" si="32"/>
        <v>0.9004965517241379</v>
      </c>
      <c r="K247" s="292"/>
      <c r="L247" s="293"/>
      <c r="M247" s="316"/>
      <c r="N247" s="292"/>
      <c r="O247" s="293"/>
      <c r="P247" s="310"/>
    </row>
    <row r="248" spans="1:16" ht="40.5">
      <c r="A248" s="45"/>
      <c r="B248" s="84"/>
      <c r="C248" s="114">
        <v>4370</v>
      </c>
      <c r="D248" s="58" t="s">
        <v>191</v>
      </c>
      <c r="E248" s="51">
        <v>2620</v>
      </c>
      <c r="F248" s="324">
        <v>2428.5</v>
      </c>
      <c r="G248" s="276">
        <f t="shared" si="31"/>
        <v>0.9269083969465649</v>
      </c>
      <c r="H248" s="51">
        <v>2620</v>
      </c>
      <c r="I248" s="324">
        <v>2428.5</v>
      </c>
      <c r="J248" s="105"/>
      <c r="K248" s="292"/>
      <c r="L248" s="293"/>
      <c r="M248" s="316"/>
      <c r="N248" s="292"/>
      <c r="O248" s="293"/>
      <c r="P248" s="310"/>
    </row>
    <row r="249" spans="1:16" ht="20.25">
      <c r="A249" s="45"/>
      <c r="B249" s="84"/>
      <c r="C249" s="114">
        <v>4410</v>
      </c>
      <c r="D249" s="87" t="s">
        <v>56</v>
      </c>
      <c r="E249" s="51">
        <v>3500</v>
      </c>
      <c r="F249" s="324">
        <v>2006.6</v>
      </c>
      <c r="G249" s="276">
        <f t="shared" si="31"/>
        <v>0.5733142857142857</v>
      </c>
      <c r="H249" s="51">
        <v>3500</v>
      </c>
      <c r="I249" s="324">
        <v>2006.6</v>
      </c>
      <c r="J249" s="105">
        <f t="shared" si="32"/>
        <v>0.5733142857142857</v>
      </c>
      <c r="K249" s="292"/>
      <c r="L249" s="293"/>
      <c r="M249" s="316"/>
      <c r="N249" s="292"/>
      <c r="O249" s="293"/>
      <c r="P249" s="310"/>
    </row>
    <row r="250" spans="1:16" ht="20.25">
      <c r="A250" s="45"/>
      <c r="B250" s="84"/>
      <c r="C250" s="114">
        <v>4430</v>
      </c>
      <c r="D250" s="87" t="s">
        <v>54</v>
      </c>
      <c r="E250" s="51">
        <v>980</v>
      </c>
      <c r="F250" s="324">
        <v>980</v>
      </c>
      <c r="G250" s="276">
        <f>F250/E250</f>
        <v>1</v>
      </c>
      <c r="H250" s="51">
        <v>980</v>
      </c>
      <c r="I250" s="324">
        <v>980</v>
      </c>
      <c r="J250" s="105">
        <f>I250/H250</f>
        <v>1</v>
      </c>
      <c r="K250" s="292"/>
      <c r="L250" s="293"/>
      <c r="M250" s="316"/>
      <c r="N250" s="292"/>
      <c r="O250" s="293"/>
      <c r="P250" s="310"/>
    </row>
    <row r="251" spans="1:16" ht="20.25">
      <c r="A251" s="45"/>
      <c r="B251" s="84"/>
      <c r="C251" s="114">
        <v>4440</v>
      </c>
      <c r="D251" s="87" t="s">
        <v>129</v>
      </c>
      <c r="E251" s="51">
        <v>51020</v>
      </c>
      <c r="F251" s="324">
        <v>51020</v>
      </c>
      <c r="G251" s="276">
        <f t="shared" si="31"/>
        <v>1</v>
      </c>
      <c r="H251" s="51">
        <v>51020</v>
      </c>
      <c r="I251" s="324">
        <v>51020</v>
      </c>
      <c r="J251" s="105">
        <f t="shared" si="32"/>
        <v>1</v>
      </c>
      <c r="K251" s="292"/>
      <c r="L251" s="293"/>
      <c r="M251" s="316"/>
      <c r="N251" s="292"/>
      <c r="O251" s="293"/>
      <c r="P251" s="310"/>
    </row>
    <row r="252" spans="1:16" ht="20.25">
      <c r="A252" s="45"/>
      <c r="B252" s="84"/>
      <c r="C252" s="114">
        <v>4580</v>
      </c>
      <c r="D252" s="87" t="s">
        <v>24</v>
      </c>
      <c r="E252" s="51">
        <v>50</v>
      </c>
      <c r="F252" s="324">
        <v>49.07</v>
      </c>
      <c r="G252" s="276">
        <f t="shared" si="31"/>
        <v>0.9814</v>
      </c>
      <c r="H252" s="51">
        <v>50</v>
      </c>
      <c r="I252" s="324">
        <v>49.07</v>
      </c>
      <c r="J252" s="105">
        <f t="shared" si="32"/>
        <v>0.9814</v>
      </c>
      <c r="K252" s="292"/>
      <c r="L252" s="293"/>
      <c r="M252" s="316"/>
      <c r="N252" s="292"/>
      <c r="O252" s="293"/>
      <c r="P252" s="310"/>
    </row>
    <row r="253" spans="1:16" ht="40.5">
      <c r="A253" s="45"/>
      <c r="B253" s="84"/>
      <c r="C253" s="114">
        <v>4700</v>
      </c>
      <c r="D253" s="58" t="s">
        <v>190</v>
      </c>
      <c r="E253" s="51">
        <v>500</v>
      </c>
      <c r="F253" s="324">
        <v>380</v>
      </c>
      <c r="G253" s="276">
        <f t="shared" si="31"/>
        <v>0.76</v>
      </c>
      <c r="H253" s="51">
        <v>500</v>
      </c>
      <c r="I253" s="324">
        <v>380</v>
      </c>
      <c r="J253" s="105">
        <f t="shared" si="32"/>
        <v>0.76</v>
      </c>
      <c r="K253" s="292"/>
      <c r="L253" s="293"/>
      <c r="M253" s="316"/>
      <c r="N253" s="292"/>
      <c r="O253" s="293"/>
      <c r="P253" s="310"/>
    </row>
    <row r="254" spans="1:16" ht="40.5">
      <c r="A254" s="45"/>
      <c r="B254" s="84"/>
      <c r="C254" s="114">
        <v>4740</v>
      </c>
      <c r="D254" s="58" t="s">
        <v>182</v>
      </c>
      <c r="E254" s="51">
        <v>500</v>
      </c>
      <c r="F254" s="324">
        <v>0</v>
      </c>
      <c r="G254" s="276">
        <f t="shared" si="31"/>
        <v>0</v>
      </c>
      <c r="H254" s="51">
        <v>500</v>
      </c>
      <c r="I254" s="324">
        <v>0</v>
      </c>
      <c r="J254" s="105">
        <f t="shared" si="32"/>
        <v>0</v>
      </c>
      <c r="K254" s="292"/>
      <c r="L254" s="293"/>
      <c r="M254" s="316"/>
      <c r="N254" s="292"/>
      <c r="O254" s="293"/>
      <c r="P254" s="310"/>
    </row>
    <row r="255" spans="1:16" ht="40.5">
      <c r="A255" s="45"/>
      <c r="B255" s="84"/>
      <c r="C255" s="114">
        <v>4750</v>
      </c>
      <c r="D255" s="58" t="s">
        <v>183</v>
      </c>
      <c r="E255" s="51">
        <v>2000</v>
      </c>
      <c r="F255" s="324">
        <v>706.73</v>
      </c>
      <c r="G255" s="276">
        <f>F255/E255</f>
        <v>0.353365</v>
      </c>
      <c r="H255" s="51">
        <v>2000</v>
      </c>
      <c r="I255" s="324">
        <v>706.73</v>
      </c>
      <c r="J255" s="105">
        <f>I255/H255</f>
        <v>0.353365</v>
      </c>
      <c r="K255" s="292"/>
      <c r="L255" s="293"/>
      <c r="M255" s="316"/>
      <c r="N255" s="292"/>
      <c r="O255" s="293"/>
      <c r="P255" s="310"/>
    </row>
    <row r="256" spans="1:16" ht="20.25">
      <c r="A256" s="45"/>
      <c r="B256" s="78">
        <v>80113</v>
      </c>
      <c r="C256" s="116"/>
      <c r="D256" s="78" t="s">
        <v>63</v>
      </c>
      <c r="E256" s="79">
        <f>SUM(E257:E264)</f>
        <v>210460</v>
      </c>
      <c r="F256" s="79">
        <f>SUM(F257:F264)</f>
        <v>199748.72999999998</v>
      </c>
      <c r="G256" s="287">
        <f aca="true" t="shared" si="33" ref="G256:G266">F256/E256</f>
        <v>0.9491054357122493</v>
      </c>
      <c r="H256" s="79">
        <f>SUM(H257:H264)</f>
        <v>210460</v>
      </c>
      <c r="I256" s="79">
        <f>SUM(I257:I264)</f>
        <v>199748.72999999998</v>
      </c>
      <c r="J256" s="81">
        <f aca="true" t="shared" si="34" ref="J256:J266">I256/H256</f>
        <v>0.9491054357122493</v>
      </c>
      <c r="K256" s="305"/>
      <c r="L256" s="306"/>
      <c r="M256" s="307"/>
      <c r="N256" s="305"/>
      <c r="O256" s="306"/>
      <c r="P256" s="308"/>
    </row>
    <row r="257" spans="1:16" ht="60.75">
      <c r="A257" s="45"/>
      <c r="B257" s="45"/>
      <c r="C257" s="114">
        <v>2820</v>
      </c>
      <c r="D257" s="138" t="s">
        <v>136</v>
      </c>
      <c r="E257" s="51">
        <v>7700</v>
      </c>
      <c r="F257" s="51">
        <v>7686</v>
      </c>
      <c r="G257" s="263">
        <f t="shared" si="33"/>
        <v>0.9981818181818182</v>
      </c>
      <c r="H257" s="51">
        <v>7700</v>
      </c>
      <c r="I257" s="51">
        <v>7686</v>
      </c>
      <c r="J257" s="102">
        <f t="shared" si="34"/>
        <v>0.9981818181818182</v>
      </c>
      <c r="K257" s="292"/>
      <c r="L257" s="293"/>
      <c r="M257" s="309"/>
      <c r="N257" s="292"/>
      <c r="O257" s="293"/>
      <c r="P257" s="310"/>
    </row>
    <row r="258" spans="1:16" ht="20.25">
      <c r="A258" s="45"/>
      <c r="B258" s="45"/>
      <c r="C258" s="114">
        <v>4010</v>
      </c>
      <c r="D258" s="346" t="s">
        <v>48</v>
      </c>
      <c r="E258" s="51">
        <v>27000</v>
      </c>
      <c r="F258" s="51">
        <v>25584.3</v>
      </c>
      <c r="G258" s="276">
        <f t="shared" si="33"/>
        <v>0.9475666666666667</v>
      </c>
      <c r="H258" s="51">
        <v>27000</v>
      </c>
      <c r="I258" s="51">
        <v>25584.3</v>
      </c>
      <c r="J258" s="72">
        <f t="shared" si="34"/>
        <v>0.9475666666666667</v>
      </c>
      <c r="K258" s="292"/>
      <c r="L258" s="293"/>
      <c r="M258" s="309"/>
      <c r="N258" s="292"/>
      <c r="O258" s="293"/>
      <c r="P258" s="310"/>
    </row>
    <row r="259" spans="1:16" ht="20.25">
      <c r="A259" s="45"/>
      <c r="B259" s="84"/>
      <c r="C259" s="114">
        <v>4110</v>
      </c>
      <c r="D259" s="346" t="s">
        <v>50</v>
      </c>
      <c r="E259" s="51">
        <v>5930</v>
      </c>
      <c r="F259" s="51">
        <v>4755.2</v>
      </c>
      <c r="G259" s="263">
        <f t="shared" si="33"/>
        <v>0.8018887015177065</v>
      </c>
      <c r="H259" s="51">
        <v>5930</v>
      </c>
      <c r="I259" s="51">
        <v>4755.2</v>
      </c>
      <c r="J259" s="52">
        <f t="shared" si="34"/>
        <v>0.8018887015177065</v>
      </c>
      <c r="K259" s="292"/>
      <c r="L259" s="293"/>
      <c r="M259" s="316"/>
      <c r="N259" s="292"/>
      <c r="O259" s="293"/>
      <c r="P259" s="310"/>
    </row>
    <row r="260" spans="1:16" ht="21" customHeight="1">
      <c r="A260" s="45"/>
      <c r="B260" s="84"/>
      <c r="C260" s="114">
        <v>4120</v>
      </c>
      <c r="D260" s="346" t="s">
        <v>51</v>
      </c>
      <c r="E260" s="51">
        <v>850</v>
      </c>
      <c r="F260" s="51">
        <v>639.13</v>
      </c>
      <c r="G260" s="263">
        <f t="shared" si="33"/>
        <v>0.7519176470588236</v>
      </c>
      <c r="H260" s="51">
        <v>850</v>
      </c>
      <c r="I260" s="51">
        <v>639.13</v>
      </c>
      <c r="J260" s="102">
        <f t="shared" si="34"/>
        <v>0.7519176470588236</v>
      </c>
      <c r="K260" s="292"/>
      <c r="L260" s="293"/>
      <c r="M260" s="316"/>
      <c r="N260" s="292"/>
      <c r="O260" s="293"/>
      <c r="P260" s="310"/>
    </row>
    <row r="261" spans="1:16" ht="20.25">
      <c r="A261" s="45"/>
      <c r="B261" s="84"/>
      <c r="C261" s="114">
        <v>4170</v>
      </c>
      <c r="D261" s="346" t="s">
        <v>98</v>
      </c>
      <c r="E261" s="51">
        <v>7370</v>
      </c>
      <c r="F261" s="51">
        <v>7135.88</v>
      </c>
      <c r="G261" s="263">
        <f t="shared" si="33"/>
        <v>0.9682333785617367</v>
      </c>
      <c r="H261" s="51">
        <v>7370</v>
      </c>
      <c r="I261" s="51">
        <v>7135.88</v>
      </c>
      <c r="J261" s="52">
        <f t="shared" si="34"/>
        <v>0.9682333785617367</v>
      </c>
      <c r="K261" s="292"/>
      <c r="L261" s="293"/>
      <c r="M261" s="316"/>
      <c r="N261" s="292"/>
      <c r="O261" s="293"/>
      <c r="P261" s="310"/>
    </row>
    <row r="262" spans="1:16" ht="20.25">
      <c r="A262" s="45"/>
      <c r="B262" s="84"/>
      <c r="C262" s="114">
        <v>4210</v>
      </c>
      <c r="D262" s="346" t="s">
        <v>43</v>
      </c>
      <c r="E262" s="51">
        <v>30000</v>
      </c>
      <c r="F262" s="51">
        <v>28740.91</v>
      </c>
      <c r="G262" s="263">
        <f t="shared" si="33"/>
        <v>0.9580303333333333</v>
      </c>
      <c r="H262" s="51">
        <v>30000</v>
      </c>
      <c r="I262" s="51">
        <v>28740.91</v>
      </c>
      <c r="J262" s="102">
        <f t="shared" si="34"/>
        <v>0.9580303333333333</v>
      </c>
      <c r="K262" s="292"/>
      <c r="L262" s="293"/>
      <c r="M262" s="316"/>
      <c r="N262" s="292"/>
      <c r="O262" s="293"/>
      <c r="P262" s="310"/>
    </row>
    <row r="263" spans="1:16" ht="20.25">
      <c r="A263" s="45"/>
      <c r="B263" s="84"/>
      <c r="C263" s="114">
        <v>4300</v>
      </c>
      <c r="D263" s="346" t="s">
        <v>45</v>
      </c>
      <c r="E263" s="51">
        <v>129790</v>
      </c>
      <c r="F263" s="51">
        <v>123388.31</v>
      </c>
      <c r="G263" s="263">
        <f t="shared" si="33"/>
        <v>0.9506765544340858</v>
      </c>
      <c r="H263" s="51">
        <v>129790</v>
      </c>
      <c r="I263" s="51">
        <v>123388.31</v>
      </c>
      <c r="J263" s="52">
        <f t="shared" si="34"/>
        <v>0.9506765544340858</v>
      </c>
      <c r="K263" s="292"/>
      <c r="L263" s="293"/>
      <c r="M263" s="316"/>
      <c r="N263" s="292"/>
      <c r="O263" s="293"/>
      <c r="P263" s="310"/>
    </row>
    <row r="264" spans="1:16" ht="20.25">
      <c r="A264" s="45"/>
      <c r="B264" s="45"/>
      <c r="C264" s="114">
        <v>4430</v>
      </c>
      <c r="D264" s="346" t="s">
        <v>54</v>
      </c>
      <c r="E264" s="51">
        <v>1820</v>
      </c>
      <c r="F264" s="51">
        <v>1819</v>
      </c>
      <c r="G264" s="276">
        <f t="shared" si="33"/>
        <v>0.9994505494505495</v>
      </c>
      <c r="H264" s="51">
        <v>1820</v>
      </c>
      <c r="I264" s="51">
        <v>1819</v>
      </c>
      <c r="J264" s="105">
        <f t="shared" si="34"/>
        <v>0.9994505494505495</v>
      </c>
      <c r="K264" s="292"/>
      <c r="L264" s="293"/>
      <c r="M264" s="316"/>
      <c r="N264" s="292"/>
      <c r="O264" s="293"/>
      <c r="P264" s="310"/>
    </row>
    <row r="265" spans="1:16" ht="40.5">
      <c r="A265" s="45"/>
      <c r="B265" s="78">
        <v>80114</v>
      </c>
      <c r="C265" s="116"/>
      <c r="D265" s="117" t="s">
        <v>161</v>
      </c>
      <c r="E265" s="79">
        <f>SUM(E266:E289)-E285</f>
        <v>763660</v>
      </c>
      <c r="F265" s="79">
        <f>SUM(F266:F289)-F285</f>
        <v>708219.56</v>
      </c>
      <c r="G265" s="287">
        <f t="shared" si="33"/>
        <v>0.9274016709006627</v>
      </c>
      <c r="H265" s="79">
        <f>SUM(H266:H289)-H285</f>
        <v>763660</v>
      </c>
      <c r="I265" s="79">
        <f>SUM(I266:I289)-I285</f>
        <v>708219.56</v>
      </c>
      <c r="J265" s="81">
        <f t="shared" si="34"/>
        <v>0.9274016709006627</v>
      </c>
      <c r="K265" s="305"/>
      <c r="L265" s="306"/>
      <c r="M265" s="307"/>
      <c r="N265" s="305"/>
      <c r="O265" s="306"/>
      <c r="P265" s="308"/>
    </row>
    <row r="266" spans="1:16" ht="20.25">
      <c r="A266" s="45"/>
      <c r="B266" s="84"/>
      <c r="C266" s="114">
        <v>3020</v>
      </c>
      <c r="D266" s="138" t="s">
        <v>128</v>
      </c>
      <c r="E266" s="51">
        <v>4860</v>
      </c>
      <c r="F266" s="324">
        <v>4853.43</v>
      </c>
      <c r="G266" s="276">
        <f t="shared" si="33"/>
        <v>0.9986481481481482</v>
      </c>
      <c r="H266" s="51">
        <v>4860</v>
      </c>
      <c r="I266" s="324">
        <v>4853.43</v>
      </c>
      <c r="J266" s="105">
        <f t="shared" si="34"/>
        <v>0.9986481481481482</v>
      </c>
      <c r="K266" s="292"/>
      <c r="L266" s="293"/>
      <c r="M266" s="316"/>
      <c r="N266" s="292"/>
      <c r="O266" s="293"/>
      <c r="P266" s="310"/>
    </row>
    <row r="267" spans="1:16" ht="20.25">
      <c r="A267" s="45"/>
      <c r="B267" s="84"/>
      <c r="C267" s="114">
        <v>4010</v>
      </c>
      <c r="D267" s="346" t="s">
        <v>48</v>
      </c>
      <c r="E267" s="51">
        <v>492300</v>
      </c>
      <c r="F267" s="324">
        <v>462575.96</v>
      </c>
      <c r="G267" s="276">
        <f aca="true" t="shared" si="35" ref="G267:G273">F267/E267</f>
        <v>0.9396221003453179</v>
      </c>
      <c r="H267" s="51">
        <v>492300</v>
      </c>
      <c r="I267" s="324">
        <v>462575.96</v>
      </c>
      <c r="J267" s="105">
        <f aca="true" t="shared" si="36" ref="J267:J273">I267/H267</f>
        <v>0.9396221003453179</v>
      </c>
      <c r="K267" s="292"/>
      <c r="L267" s="293"/>
      <c r="M267" s="316"/>
      <c r="N267" s="292"/>
      <c r="O267" s="293"/>
      <c r="P267" s="310"/>
    </row>
    <row r="268" spans="1:16" ht="20.25">
      <c r="A268" s="45"/>
      <c r="B268" s="84"/>
      <c r="C268" s="114">
        <v>4040</v>
      </c>
      <c r="D268" s="346" t="s">
        <v>49</v>
      </c>
      <c r="E268" s="51">
        <v>38800</v>
      </c>
      <c r="F268" s="324">
        <v>38242.55</v>
      </c>
      <c r="G268" s="276">
        <f t="shared" si="35"/>
        <v>0.985632731958763</v>
      </c>
      <c r="H268" s="51">
        <v>38800</v>
      </c>
      <c r="I268" s="324">
        <v>38242.55</v>
      </c>
      <c r="J268" s="105">
        <f t="shared" si="36"/>
        <v>0.985632731958763</v>
      </c>
      <c r="K268" s="292"/>
      <c r="L268" s="293"/>
      <c r="M268" s="316"/>
      <c r="N268" s="292"/>
      <c r="O268" s="293"/>
      <c r="P268" s="310"/>
    </row>
    <row r="269" spans="1:16" ht="20.25">
      <c r="A269" s="45"/>
      <c r="B269" s="84"/>
      <c r="C269" s="114">
        <v>4110</v>
      </c>
      <c r="D269" s="346" t="s">
        <v>50</v>
      </c>
      <c r="E269" s="51">
        <v>94070</v>
      </c>
      <c r="F269" s="324">
        <v>84867.71</v>
      </c>
      <c r="G269" s="276">
        <f t="shared" si="35"/>
        <v>0.9021761454236208</v>
      </c>
      <c r="H269" s="51">
        <v>94070</v>
      </c>
      <c r="I269" s="324">
        <v>84867.71</v>
      </c>
      <c r="J269" s="105">
        <f t="shared" si="36"/>
        <v>0.9021761454236208</v>
      </c>
      <c r="K269" s="292"/>
      <c r="L269" s="293"/>
      <c r="M269" s="316"/>
      <c r="N269" s="292"/>
      <c r="O269" s="293"/>
      <c r="P269" s="310"/>
    </row>
    <row r="270" spans="1:16" ht="20.25">
      <c r="A270" s="45"/>
      <c r="B270" s="84"/>
      <c r="C270" s="114">
        <v>4120</v>
      </c>
      <c r="D270" s="346" t="s">
        <v>51</v>
      </c>
      <c r="E270" s="51">
        <v>13200</v>
      </c>
      <c r="F270" s="324">
        <v>11917.48</v>
      </c>
      <c r="G270" s="276">
        <f t="shared" si="35"/>
        <v>0.9028393939393939</v>
      </c>
      <c r="H270" s="51">
        <v>13200</v>
      </c>
      <c r="I270" s="324">
        <v>11917.48</v>
      </c>
      <c r="J270" s="105">
        <f t="shared" si="36"/>
        <v>0.9028393939393939</v>
      </c>
      <c r="K270" s="292"/>
      <c r="L270" s="293"/>
      <c r="M270" s="316"/>
      <c r="N270" s="292"/>
      <c r="O270" s="293"/>
      <c r="P270" s="310"/>
    </row>
    <row r="271" spans="1:16" ht="20.25">
      <c r="A271" s="66"/>
      <c r="B271" s="45"/>
      <c r="C271" s="114">
        <v>4140</v>
      </c>
      <c r="D271" s="346" t="s">
        <v>52</v>
      </c>
      <c r="E271" s="51">
        <v>16100</v>
      </c>
      <c r="F271" s="324">
        <v>14618</v>
      </c>
      <c r="G271" s="276">
        <f t="shared" si="35"/>
        <v>0.9079503105590062</v>
      </c>
      <c r="H271" s="51">
        <v>16100</v>
      </c>
      <c r="I271" s="324">
        <v>14618</v>
      </c>
      <c r="J271" s="105">
        <f t="shared" si="36"/>
        <v>0.9079503105590062</v>
      </c>
      <c r="K271" s="292"/>
      <c r="L271" s="293"/>
      <c r="M271" s="316"/>
      <c r="N271" s="292"/>
      <c r="O271" s="293"/>
      <c r="P271" s="310"/>
    </row>
    <row r="272" spans="1:16" ht="20.25">
      <c r="A272" s="66"/>
      <c r="B272" s="45"/>
      <c r="C272" s="114">
        <v>4170</v>
      </c>
      <c r="D272" s="346" t="s">
        <v>98</v>
      </c>
      <c r="E272" s="51">
        <v>7700</v>
      </c>
      <c r="F272" s="324">
        <v>5183.27</v>
      </c>
      <c r="G272" s="276">
        <f>F272/E272</f>
        <v>0.6731519480519481</v>
      </c>
      <c r="H272" s="51">
        <v>7700</v>
      </c>
      <c r="I272" s="324">
        <v>5183.27</v>
      </c>
      <c r="J272" s="105">
        <f>I272/H272</f>
        <v>0.6731519480519481</v>
      </c>
      <c r="K272" s="292"/>
      <c r="L272" s="293"/>
      <c r="M272" s="316"/>
      <c r="N272" s="292"/>
      <c r="O272" s="293"/>
      <c r="P272" s="310"/>
    </row>
    <row r="273" spans="1:16" ht="20.25">
      <c r="A273" s="45"/>
      <c r="B273" s="84"/>
      <c r="C273" s="114">
        <v>4210</v>
      </c>
      <c r="D273" s="346" t="s">
        <v>43</v>
      </c>
      <c r="E273" s="51">
        <v>28670</v>
      </c>
      <c r="F273" s="324">
        <v>24338.47</v>
      </c>
      <c r="G273" s="276">
        <f t="shared" si="35"/>
        <v>0.8489176839902337</v>
      </c>
      <c r="H273" s="51">
        <v>28670</v>
      </c>
      <c r="I273" s="324">
        <v>24338.47</v>
      </c>
      <c r="J273" s="105">
        <f t="shared" si="36"/>
        <v>0.8489176839902337</v>
      </c>
      <c r="K273" s="292"/>
      <c r="L273" s="293"/>
      <c r="M273" s="316"/>
      <c r="N273" s="292"/>
      <c r="O273" s="293"/>
      <c r="P273" s="310"/>
    </row>
    <row r="274" spans="1:16" ht="20.25">
      <c r="A274" s="45"/>
      <c r="B274" s="84"/>
      <c r="C274" s="114">
        <v>4260</v>
      </c>
      <c r="D274" s="346" t="s">
        <v>53</v>
      </c>
      <c r="E274" s="51">
        <v>8500</v>
      </c>
      <c r="F274" s="324">
        <v>7197.91</v>
      </c>
      <c r="G274" s="276">
        <f aca="true" t="shared" si="37" ref="G274:G289">F274/E274</f>
        <v>0.8468129411764705</v>
      </c>
      <c r="H274" s="51">
        <v>8500</v>
      </c>
      <c r="I274" s="324">
        <v>7197.91</v>
      </c>
      <c r="J274" s="105">
        <f aca="true" t="shared" si="38" ref="J274:J289">I274/H274</f>
        <v>0.8468129411764705</v>
      </c>
      <c r="K274" s="292"/>
      <c r="L274" s="293"/>
      <c r="M274" s="316"/>
      <c r="N274" s="292"/>
      <c r="O274" s="293"/>
      <c r="P274" s="310"/>
    </row>
    <row r="275" spans="1:16" ht="20.25">
      <c r="A275" s="45"/>
      <c r="B275" s="84"/>
      <c r="C275" s="114">
        <v>4270</v>
      </c>
      <c r="D275" s="346" t="s">
        <v>44</v>
      </c>
      <c r="E275" s="51">
        <v>1950</v>
      </c>
      <c r="F275" s="324">
        <v>1628.27</v>
      </c>
      <c r="G275" s="276">
        <f t="shared" si="37"/>
        <v>0.8350102564102564</v>
      </c>
      <c r="H275" s="51">
        <v>1950</v>
      </c>
      <c r="I275" s="324">
        <v>1628.27</v>
      </c>
      <c r="J275" s="105">
        <f t="shared" si="38"/>
        <v>0.8350102564102564</v>
      </c>
      <c r="K275" s="292"/>
      <c r="L275" s="293"/>
      <c r="M275" s="316"/>
      <c r="N275" s="292"/>
      <c r="O275" s="293"/>
      <c r="P275" s="310"/>
    </row>
    <row r="276" spans="1:16" ht="20.25">
      <c r="A276" s="45"/>
      <c r="B276" s="84"/>
      <c r="C276" s="114">
        <v>4280</v>
      </c>
      <c r="D276" s="346" t="s">
        <v>102</v>
      </c>
      <c r="E276" s="51">
        <v>1700</v>
      </c>
      <c r="F276" s="324">
        <v>1375</v>
      </c>
      <c r="G276" s="276">
        <f t="shared" si="37"/>
        <v>0.8088235294117647</v>
      </c>
      <c r="H276" s="51">
        <v>1700</v>
      </c>
      <c r="I276" s="324">
        <v>1375</v>
      </c>
      <c r="J276" s="105">
        <f t="shared" si="38"/>
        <v>0.8088235294117647</v>
      </c>
      <c r="K276" s="292"/>
      <c r="L276" s="293"/>
      <c r="M276" s="316"/>
      <c r="N276" s="292"/>
      <c r="O276" s="293"/>
      <c r="P276" s="310"/>
    </row>
    <row r="277" spans="1:16" ht="20.25">
      <c r="A277" s="45"/>
      <c r="B277" s="84"/>
      <c r="C277" s="114">
        <v>4300</v>
      </c>
      <c r="D277" s="346" t="s">
        <v>45</v>
      </c>
      <c r="E277" s="51">
        <v>9450</v>
      </c>
      <c r="F277" s="324">
        <v>8676.46</v>
      </c>
      <c r="G277" s="276">
        <f t="shared" si="37"/>
        <v>0.9181439153439153</v>
      </c>
      <c r="H277" s="51">
        <v>9450</v>
      </c>
      <c r="I277" s="324">
        <v>8676.46</v>
      </c>
      <c r="J277" s="105">
        <f t="shared" si="38"/>
        <v>0.9181439153439153</v>
      </c>
      <c r="K277" s="292"/>
      <c r="L277" s="293"/>
      <c r="M277" s="316"/>
      <c r="N277" s="292"/>
      <c r="O277" s="293"/>
      <c r="P277" s="310"/>
    </row>
    <row r="278" spans="1:16" ht="20.25">
      <c r="A278" s="45"/>
      <c r="B278" s="84"/>
      <c r="C278" s="114">
        <v>4350</v>
      </c>
      <c r="D278" s="346" t="s">
        <v>104</v>
      </c>
      <c r="E278" s="51">
        <v>2000</v>
      </c>
      <c r="F278" s="324">
        <v>1644.29</v>
      </c>
      <c r="G278" s="276">
        <f t="shared" si="37"/>
        <v>0.822145</v>
      </c>
      <c r="H278" s="51">
        <v>2000</v>
      </c>
      <c r="I278" s="324">
        <v>1644.29</v>
      </c>
      <c r="J278" s="105">
        <f t="shared" si="38"/>
        <v>0.822145</v>
      </c>
      <c r="K278" s="292"/>
      <c r="L278" s="293"/>
      <c r="M278" s="316"/>
      <c r="N278" s="292"/>
      <c r="O278" s="293"/>
      <c r="P278" s="310"/>
    </row>
    <row r="279" spans="1:16" ht="40.5">
      <c r="A279" s="45"/>
      <c r="B279" s="84"/>
      <c r="C279" s="114">
        <v>4360</v>
      </c>
      <c r="D279" s="138" t="s">
        <v>189</v>
      </c>
      <c r="E279" s="51">
        <v>1850</v>
      </c>
      <c r="F279" s="324">
        <v>946.2</v>
      </c>
      <c r="G279" s="276">
        <f t="shared" si="37"/>
        <v>0.5114594594594595</v>
      </c>
      <c r="H279" s="51">
        <v>1850</v>
      </c>
      <c r="I279" s="324">
        <v>946.2</v>
      </c>
      <c r="J279" s="105">
        <f t="shared" si="38"/>
        <v>0.5114594594594595</v>
      </c>
      <c r="K279" s="292"/>
      <c r="L279" s="293"/>
      <c r="M279" s="316"/>
      <c r="N279" s="292"/>
      <c r="O279" s="293"/>
      <c r="P279" s="310"/>
    </row>
    <row r="280" spans="1:16" ht="40.5">
      <c r="A280" s="45"/>
      <c r="B280" s="84"/>
      <c r="C280" s="114">
        <v>4370</v>
      </c>
      <c r="D280" s="138" t="s">
        <v>191</v>
      </c>
      <c r="E280" s="51">
        <v>3250</v>
      </c>
      <c r="F280" s="324">
        <v>3186.15</v>
      </c>
      <c r="G280" s="276">
        <f t="shared" si="37"/>
        <v>0.9803538461538461</v>
      </c>
      <c r="H280" s="51">
        <v>3250</v>
      </c>
      <c r="I280" s="324">
        <v>3186.15</v>
      </c>
      <c r="J280" s="105">
        <f t="shared" si="38"/>
        <v>0.9803538461538461</v>
      </c>
      <c r="K280" s="292"/>
      <c r="L280" s="293"/>
      <c r="M280" s="316"/>
      <c r="N280" s="292"/>
      <c r="O280" s="293"/>
      <c r="P280" s="310"/>
    </row>
    <row r="281" spans="1:16" ht="20.25">
      <c r="A281" s="45"/>
      <c r="B281" s="84"/>
      <c r="C281" s="114">
        <v>4410</v>
      </c>
      <c r="D281" s="346" t="s">
        <v>56</v>
      </c>
      <c r="E281" s="51">
        <v>2000</v>
      </c>
      <c r="F281" s="324">
        <v>1951.78</v>
      </c>
      <c r="G281" s="276">
        <f t="shared" si="37"/>
        <v>0.97589</v>
      </c>
      <c r="H281" s="51">
        <v>2000</v>
      </c>
      <c r="I281" s="324">
        <v>1951.78</v>
      </c>
      <c r="J281" s="105">
        <f t="shared" si="38"/>
        <v>0.97589</v>
      </c>
      <c r="K281" s="292"/>
      <c r="L281" s="293"/>
      <c r="M281" s="316"/>
      <c r="N281" s="292"/>
      <c r="O281" s="293"/>
      <c r="P281" s="310"/>
    </row>
    <row r="282" spans="1:16" ht="20.25">
      <c r="A282" s="45"/>
      <c r="B282" s="84"/>
      <c r="C282" s="114">
        <v>4430</v>
      </c>
      <c r="D282" s="346" t="s">
        <v>54</v>
      </c>
      <c r="E282" s="51">
        <v>300</v>
      </c>
      <c r="F282" s="324">
        <v>200</v>
      </c>
      <c r="G282" s="276">
        <f>F282/E282</f>
        <v>0.6666666666666666</v>
      </c>
      <c r="H282" s="51">
        <v>300</v>
      </c>
      <c r="I282" s="324">
        <v>200</v>
      </c>
      <c r="J282" s="105">
        <f t="shared" si="38"/>
        <v>0.6666666666666666</v>
      </c>
      <c r="K282" s="292"/>
      <c r="L282" s="293"/>
      <c r="M282" s="316"/>
      <c r="N282" s="292"/>
      <c r="O282" s="293"/>
      <c r="P282" s="310"/>
    </row>
    <row r="283" spans="1:16" ht="20.25">
      <c r="A283" s="45"/>
      <c r="B283" s="84"/>
      <c r="C283" s="114">
        <v>4440</v>
      </c>
      <c r="D283" s="346" t="s">
        <v>129</v>
      </c>
      <c r="E283" s="51">
        <v>20670</v>
      </c>
      <c r="F283" s="324">
        <v>20670</v>
      </c>
      <c r="G283" s="276">
        <f t="shared" si="37"/>
        <v>1</v>
      </c>
      <c r="H283" s="51">
        <v>20670</v>
      </c>
      <c r="I283" s="324">
        <v>20670</v>
      </c>
      <c r="J283" s="105">
        <f t="shared" si="38"/>
        <v>1</v>
      </c>
      <c r="K283" s="292"/>
      <c r="L283" s="293"/>
      <c r="M283" s="309"/>
      <c r="N283" s="292"/>
      <c r="O283" s="293"/>
      <c r="P283" s="310"/>
    </row>
    <row r="284" spans="1:16" ht="23.25" customHeight="1">
      <c r="A284" s="211"/>
      <c r="B284" s="210"/>
      <c r="C284" s="354">
        <v>4580</v>
      </c>
      <c r="D284" s="448" t="s">
        <v>24</v>
      </c>
      <c r="E284" s="213">
        <v>20</v>
      </c>
      <c r="F284" s="361">
        <v>19.55</v>
      </c>
      <c r="G284" s="355">
        <f t="shared" si="37"/>
        <v>0.9775</v>
      </c>
      <c r="H284" s="213">
        <v>20</v>
      </c>
      <c r="I284" s="361">
        <v>19.55</v>
      </c>
      <c r="J284" s="356">
        <f t="shared" si="38"/>
        <v>0.9775</v>
      </c>
      <c r="K284" s="357"/>
      <c r="L284" s="358"/>
      <c r="M284" s="359"/>
      <c r="N284" s="357"/>
      <c r="O284" s="358"/>
      <c r="P284" s="360"/>
    </row>
    <row r="285" spans="1:16" ht="21" thickBot="1">
      <c r="A285" s="253">
        <v>1</v>
      </c>
      <c r="B285" s="253">
        <v>2</v>
      </c>
      <c r="C285" s="253">
        <v>3</v>
      </c>
      <c r="D285" s="253">
        <v>4</v>
      </c>
      <c r="E285" s="254">
        <v>5</v>
      </c>
      <c r="F285" s="254">
        <v>6</v>
      </c>
      <c r="G285" s="255">
        <v>7</v>
      </c>
      <c r="H285" s="256">
        <v>8</v>
      </c>
      <c r="I285" s="254">
        <v>9</v>
      </c>
      <c r="J285" s="257">
        <v>10</v>
      </c>
      <c r="K285" s="258">
        <v>11</v>
      </c>
      <c r="L285" s="259">
        <v>12</v>
      </c>
      <c r="M285" s="255">
        <v>13</v>
      </c>
      <c r="N285" s="260">
        <v>14</v>
      </c>
      <c r="O285" s="261">
        <v>15</v>
      </c>
      <c r="P285" s="261">
        <v>16</v>
      </c>
    </row>
    <row r="286" spans="1:16" ht="41.25" thickTop="1">
      <c r="A286" s="45"/>
      <c r="B286" s="84"/>
      <c r="C286" s="114">
        <v>4700</v>
      </c>
      <c r="D286" s="138" t="s">
        <v>190</v>
      </c>
      <c r="E286" s="51">
        <v>2500</v>
      </c>
      <c r="F286" s="324">
        <v>2195</v>
      </c>
      <c r="G286" s="276">
        <f t="shared" si="37"/>
        <v>0.878</v>
      </c>
      <c r="H286" s="51">
        <v>2500</v>
      </c>
      <c r="I286" s="324">
        <v>2195</v>
      </c>
      <c r="J286" s="105">
        <f t="shared" si="38"/>
        <v>0.878</v>
      </c>
      <c r="K286" s="292"/>
      <c r="L286" s="293"/>
      <c r="M286" s="316"/>
      <c r="N286" s="292"/>
      <c r="O286" s="293"/>
      <c r="P286" s="310"/>
    </row>
    <row r="287" spans="1:16" ht="40.5">
      <c r="A287" s="45"/>
      <c r="B287" s="84"/>
      <c r="C287" s="114">
        <v>4740</v>
      </c>
      <c r="D287" s="138" t="s">
        <v>182</v>
      </c>
      <c r="E287" s="51">
        <v>900</v>
      </c>
      <c r="F287" s="324">
        <v>565.34</v>
      </c>
      <c r="G287" s="276">
        <f t="shared" si="37"/>
        <v>0.6281555555555556</v>
      </c>
      <c r="H287" s="51">
        <v>900</v>
      </c>
      <c r="I287" s="324">
        <v>565.34</v>
      </c>
      <c r="J287" s="105">
        <f t="shared" si="38"/>
        <v>0.6281555555555556</v>
      </c>
      <c r="K287" s="292"/>
      <c r="L287" s="293"/>
      <c r="M287" s="316"/>
      <c r="N287" s="292"/>
      <c r="O287" s="293"/>
      <c r="P287" s="310"/>
    </row>
    <row r="288" spans="1:16" ht="40.5">
      <c r="A288" s="45"/>
      <c r="B288" s="84"/>
      <c r="C288" s="114">
        <v>4750</v>
      </c>
      <c r="D288" s="138" t="s">
        <v>183</v>
      </c>
      <c r="E288" s="51">
        <v>2870</v>
      </c>
      <c r="F288" s="324">
        <v>2864.95</v>
      </c>
      <c r="G288" s="276">
        <f t="shared" si="37"/>
        <v>0.9982404181184669</v>
      </c>
      <c r="H288" s="51">
        <v>2870</v>
      </c>
      <c r="I288" s="324">
        <v>2864.95</v>
      </c>
      <c r="J288" s="105">
        <f t="shared" si="38"/>
        <v>0.9982404181184669</v>
      </c>
      <c r="K288" s="292"/>
      <c r="L288" s="293"/>
      <c r="M288" s="316"/>
      <c r="N288" s="292"/>
      <c r="O288" s="293"/>
      <c r="P288" s="310"/>
    </row>
    <row r="289" spans="1:16" ht="20.25">
      <c r="A289" s="45"/>
      <c r="B289" s="84"/>
      <c r="C289" s="114">
        <v>6050</v>
      </c>
      <c r="D289" s="87" t="s">
        <v>73</v>
      </c>
      <c r="E289" s="51">
        <v>10000</v>
      </c>
      <c r="F289" s="324">
        <v>8501.79</v>
      </c>
      <c r="G289" s="276">
        <f t="shared" si="37"/>
        <v>0.8501790000000001</v>
      </c>
      <c r="H289" s="51">
        <v>10000</v>
      </c>
      <c r="I289" s="324">
        <v>8501.79</v>
      </c>
      <c r="J289" s="105">
        <f t="shared" si="38"/>
        <v>0.8501790000000001</v>
      </c>
      <c r="K289" s="292"/>
      <c r="L289" s="293"/>
      <c r="M289" s="316"/>
      <c r="N289" s="292"/>
      <c r="O289" s="293"/>
      <c r="P289" s="310"/>
    </row>
    <row r="290" spans="1:16" ht="20.25">
      <c r="A290" s="45"/>
      <c r="B290" s="78">
        <v>80120</v>
      </c>
      <c r="C290" s="116"/>
      <c r="D290" s="78" t="s">
        <v>64</v>
      </c>
      <c r="E290" s="79">
        <f>SUM(E291:E309)</f>
        <v>479815</v>
      </c>
      <c r="F290" s="79">
        <f>SUM(F291:F309)</f>
        <v>443501.18000000005</v>
      </c>
      <c r="G290" s="287">
        <f>F290/E290</f>
        <v>0.924317038858727</v>
      </c>
      <c r="H290" s="79">
        <f>SUM(H291:H309)</f>
        <v>479815</v>
      </c>
      <c r="I290" s="79">
        <f>SUM(I291:I309)</f>
        <v>443501.18000000005</v>
      </c>
      <c r="J290" s="81">
        <f>I290/H290</f>
        <v>0.924317038858727</v>
      </c>
      <c r="K290" s="305"/>
      <c r="L290" s="306"/>
      <c r="M290" s="307"/>
      <c r="N290" s="305"/>
      <c r="O290" s="306"/>
      <c r="P290" s="308"/>
    </row>
    <row r="291" spans="1:16" ht="20.25">
      <c r="A291" s="45"/>
      <c r="B291" s="84"/>
      <c r="C291" s="114">
        <v>3020</v>
      </c>
      <c r="D291" s="58" t="s">
        <v>128</v>
      </c>
      <c r="E291" s="51">
        <v>17370</v>
      </c>
      <c r="F291" s="324">
        <v>17364.68</v>
      </c>
      <c r="G291" s="276">
        <f aca="true" t="shared" si="39" ref="G291:G309">F291/E291</f>
        <v>0.9996937248128959</v>
      </c>
      <c r="H291" s="51">
        <v>17370</v>
      </c>
      <c r="I291" s="324">
        <v>17364.68</v>
      </c>
      <c r="J291" s="105">
        <f aca="true" t="shared" si="40" ref="J291:J309">I291/H291</f>
        <v>0.9996937248128959</v>
      </c>
      <c r="K291" s="292"/>
      <c r="L291" s="293"/>
      <c r="M291" s="316"/>
      <c r="N291" s="292"/>
      <c r="O291" s="293"/>
      <c r="P291" s="310"/>
    </row>
    <row r="292" spans="1:16" ht="20.25">
      <c r="A292" s="45"/>
      <c r="B292" s="84"/>
      <c r="C292" s="114">
        <v>4010</v>
      </c>
      <c r="D292" s="87" t="s">
        <v>48</v>
      </c>
      <c r="E292" s="51">
        <v>264000</v>
      </c>
      <c r="F292" s="324">
        <v>245026.89</v>
      </c>
      <c r="G292" s="276">
        <f t="shared" si="39"/>
        <v>0.9281321590909092</v>
      </c>
      <c r="H292" s="51">
        <v>264000</v>
      </c>
      <c r="I292" s="324">
        <v>245026.89</v>
      </c>
      <c r="J292" s="105">
        <f t="shared" si="40"/>
        <v>0.9281321590909092</v>
      </c>
      <c r="K292" s="292"/>
      <c r="L292" s="293"/>
      <c r="M292" s="316"/>
      <c r="N292" s="292"/>
      <c r="O292" s="293"/>
      <c r="P292" s="310"/>
    </row>
    <row r="293" spans="1:16" ht="20.25">
      <c r="A293" s="45"/>
      <c r="B293" s="84"/>
      <c r="C293" s="114">
        <v>4040</v>
      </c>
      <c r="D293" s="87" t="s">
        <v>49</v>
      </c>
      <c r="E293" s="51">
        <v>20600</v>
      </c>
      <c r="F293" s="324">
        <v>19553.91</v>
      </c>
      <c r="G293" s="276">
        <f t="shared" si="39"/>
        <v>0.9492189320388349</v>
      </c>
      <c r="H293" s="51">
        <v>20600</v>
      </c>
      <c r="I293" s="324">
        <v>19553.91</v>
      </c>
      <c r="J293" s="105">
        <f t="shared" si="40"/>
        <v>0.9492189320388349</v>
      </c>
      <c r="K293" s="292"/>
      <c r="L293" s="293"/>
      <c r="M293" s="316"/>
      <c r="N293" s="292"/>
      <c r="O293" s="293"/>
      <c r="P293" s="310"/>
    </row>
    <row r="294" spans="1:16" ht="20.25">
      <c r="A294" s="45"/>
      <c r="B294" s="84"/>
      <c r="C294" s="114">
        <v>4110</v>
      </c>
      <c r="D294" s="87" t="s">
        <v>50</v>
      </c>
      <c r="E294" s="51">
        <v>53040</v>
      </c>
      <c r="F294" s="324">
        <v>47789.66</v>
      </c>
      <c r="G294" s="276">
        <f t="shared" si="39"/>
        <v>0.9010116892911011</v>
      </c>
      <c r="H294" s="51">
        <v>53040</v>
      </c>
      <c r="I294" s="324">
        <v>47789.66</v>
      </c>
      <c r="J294" s="105">
        <f t="shared" si="40"/>
        <v>0.9010116892911011</v>
      </c>
      <c r="K294" s="292"/>
      <c r="L294" s="293"/>
      <c r="M294" s="316"/>
      <c r="N294" s="292"/>
      <c r="O294" s="293"/>
      <c r="P294" s="310"/>
    </row>
    <row r="295" spans="1:16" ht="20.25">
      <c r="A295" s="45"/>
      <c r="B295" s="84"/>
      <c r="C295" s="114">
        <v>4120</v>
      </c>
      <c r="D295" s="87" t="s">
        <v>51</v>
      </c>
      <c r="E295" s="51">
        <v>7440</v>
      </c>
      <c r="F295" s="324">
        <v>6685.92</v>
      </c>
      <c r="G295" s="276">
        <f t="shared" si="39"/>
        <v>0.8986451612903226</v>
      </c>
      <c r="H295" s="51">
        <v>7440</v>
      </c>
      <c r="I295" s="324">
        <v>6685.92</v>
      </c>
      <c r="J295" s="105">
        <f t="shared" si="40"/>
        <v>0.8986451612903226</v>
      </c>
      <c r="K295" s="292"/>
      <c r="L295" s="293"/>
      <c r="M295" s="316"/>
      <c r="N295" s="292"/>
      <c r="O295" s="293"/>
      <c r="P295" s="310"/>
    </row>
    <row r="296" spans="1:16" ht="20.25">
      <c r="A296" s="45"/>
      <c r="B296" s="84"/>
      <c r="C296" s="114">
        <v>4170</v>
      </c>
      <c r="D296" s="87" t="s">
        <v>98</v>
      </c>
      <c r="E296" s="51">
        <v>3300</v>
      </c>
      <c r="F296" s="324">
        <v>1159.74</v>
      </c>
      <c r="G296" s="276">
        <f t="shared" si="39"/>
        <v>0.35143636363636366</v>
      </c>
      <c r="H296" s="51">
        <v>3300</v>
      </c>
      <c r="I296" s="324">
        <v>1159.74</v>
      </c>
      <c r="J296" s="105">
        <f t="shared" si="40"/>
        <v>0.35143636363636366</v>
      </c>
      <c r="K296" s="292"/>
      <c r="L296" s="293"/>
      <c r="M296" s="316"/>
      <c r="N296" s="292"/>
      <c r="O296" s="293"/>
      <c r="P296" s="310"/>
    </row>
    <row r="297" spans="1:16" ht="20.25">
      <c r="A297" s="45"/>
      <c r="B297" s="84"/>
      <c r="C297" s="114">
        <v>4210</v>
      </c>
      <c r="D297" s="87" t="s">
        <v>43</v>
      </c>
      <c r="E297" s="51">
        <v>10100</v>
      </c>
      <c r="F297" s="324">
        <v>8221.62</v>
      </c>
      <c r="G297" s="276">
        <f t="shared" si="39"/>
        <v>0.8140217821782179</v>
      </c>
      <c r="H297" s="51">
        <v>10100</v>
      </c>
      <c r="I297" s="324">
        <v>8221.62</v>
      </c>
      <c r="J297" s="105">
        <f t="shared" si="40"/>
        <v>0.8140217821782179</v>
      </c>
      <c r="K297" s="292"/>
      <c r="L297" s="293"/>
      <c r="M297" s="316"/>
      <c r="N297" s="292"/>
      <c r="O297" s="293"/>
      <c r="P297" s="310"/>
    </row>
    <row r="298" spans="1:16" ht="23.25" customHeight="1">
      <c r="A298" s="45"/>
      <c r="B298" s="84"/>
      <c r="C298" s="114">
        <v>4240</v>
      </c>
      <c r="D298" s="58" t="s">
        <v>135</v>
      </c>
      <c r="E298" s="51">
        <v>11770</v>
      </c>
      <c r="F298" s="324">
        <v>7636.96</v>
      </c>
      <c r="G298" s="276">
        <f t="shared" si="39"/>
        <v>0.6488496176720476</v>
      </c>
      <c r="H298" s="51">
        <v>11770</v>
      </c>
      <c r="I298" s="324">
        <v>7636.96</v>
      </c>
      <c r="J298" s="105">
        <f t="shared" si="40"/>
        <v>0.6488496176720476</v>
      </c>
      <c r="K298" s="292"/>
      <c r="L298" s="293"/>
      <c r="M298" s="316"/>
      <c r="N298" s="292"/>
      <c r="O298" s="293"/>
      <c r="P298" s="310"/>
    </row>
    <row r="299" spans="1:16" ht="20.25">
      <c r="A299" s="45"/>
      <c r="B299" s="84"/>
      <c r="C299" s="114">
        <v>4260</v>
      </c>
      <c r="D299" s="87" t="s">
        <v>53</v>
      </c>
      <c r="E299" s="51">
        <v>67800</v>
      </c>
      <c r="F299" s="324">
        <v>67514.35</v>
      </c>
      <c r="G299" s="276">
        <f t="shared" si="39"/>
        <v>0.9957868731563423</v>
      </c>
      <c r="H299" s="51">
        <v>67800</v>
      </c>
      <c r="I299" s="324">
        <v>67514.35</v>
      </c>
      <c r="J299" s="105">
        <f t="shared" si="40"/>
        <v>0.9957868731563423</v>
      </c>
      <c r="K299" s="292"/>
      <c r="L299" s="293"/>
      <c r="M299" s="316"/>
      <c r="N299" s="292"/>
      <c r="O299" s="293"/>
      <c r="P299" s="310"/>
    </row>
    <row r="300" spans="1:16" ht="20.25">
      <c r="A300" s="45"/>
      <c r="B300" s="84"/>
      <c r="C300" s="114">
        <v>4270</v>
      </c>
      <c r="D300" s="346" t="s">
        <v>44</v>
      </c>
      <c r="E300" s="51">
        <v>300</v>
      </c>
      <c r="F300" s="324">
        <v>101.26</v>
      </c>
      <c r="G300" s="276">
        <f t="shared" si="39"/>
        <v>0.33753333333333335</v>
      </c>
      <c r="H300" s="51">
        <v>300</v>
      </c>
      <c r="I300" s="324">
        <v>101.26</v>
      </c>
      <c r="J300" s="105"/>
      <c r="K300" s="292"/>
      <c r="L300" s="293"/>
      <c r="M300" s="316"/>
      <c r="N300" s="292"/>
      <c r="O300" s="293"/>
      <c r="P300" s="310"/>
    </row>
    <row r="301" spans="1:16" ht="20.25">
      <c r="A301" s="45"/>
      <c r="B301" s="84"/>
      <c r="C301" s="114">
        <v>4280</v>
      </c>
      <c r="D301" s="87" t="s">
        <v>102</v>
      </c>
      <c r="E301" s="51">
        <v>560</v>
      </c>
      <c r="F301" s="324">
        <v>235</v>
      </c>
      <c r="G301" s="276">
        <f>F301/E301</f>
        <v>0.41964285714285715</v>
      </c>
      <c r="H301" s="51">
        <v>560</v>
      </c>
      <c r="I301" s="324">
        <v>235</v>
      </c>
      <c r="J301" s="105">
        <f>I301/H301</f>
        <v>0.41964285714285715</v>
      </c>
      <c r="K301" s="292"/>
      <c r="L301" s="293"/>
      <c r="M301" s="316"/>
      <c r="N301" s="292"/>
      <c r="O301" s="293"/>
      <c r="P301" s="310"/>
    </row>
    <row r="302" spans="1:16" ht="20.25">
      <c r="A302" s="45"/>
      <c r="B302" s="84"/>
      <c r="C302" s="114">
        <v>4300</v>
      </c>
      <c r="D302" s="87" t="s">
        <v>45</v>
      </c>
      <c r="E302" s="51">
        <v>3580</v>
      </c>
      <c r="F302" s="324">
        <v>3494.39</v>
      </c>
      <c r="G302" s="276">
        <f t="shared" si="39"/>
        <v>0.9760865921787709</v>
      </c>
      <c r="H302" s="51">
        <v>3580</v>
      </c>
      <c r="I302" s="324">
        <v>3494.39</v>
      </c>
      <c r="J302" s="105">
        <f t="shared" si="40"/>
        <v>0.9760865921787709</v>
      </c>
      <c r="K302" s="292"/>
      <c r="L302" s="293"/>
      <c r="M302" s="316"/>
      <c r="N302" s="292"/>
      <c r="O302" s="293"/>
      <c r="P302" s="310"/>
    </row>
    <row r="303" spans="1:16" ht="20.25">
      <c r="A303" s="45"/>
      <c r="B303" s="84"/>
      <c r="C303" s="114">
        <v>4350</v>
      </c>
      <c r="D303" s="87" t="s">
        <v>104</v>
      </c>
      <c r="E303" s="51">
        <v>550</v>
      </c>
      <c r="F303" s="324">
        <v>536.71</v>
      </c>
      <c r="G303" s="276">
        <f t="shared" si="39"/>
        <v>0.9758363636363637</v>
      </c>
      <c r="H303" s="51">
        <v>550</v>
      </c>
      <c r="I303" s="324">
        <v>536.71</v>
      </c>
      <c r="J303" s="105">
        <f t="shared" si="40"/>
        <v>0.9758363636363637</v>
      </c>
      <c r="K303" s="292"/>
      <c r="L303" s="293"/>
      <c r="M303" s="316"/>
      <c r="N303" s="292"/>
      <c r="O303" s="293"/>
      <c r="P303" s="310"/>
    </row>
    <row r="304" spans="1:16" ht="40.5">
      <c r="A304" s="45"/>
      <c r="B304" s="84"/>
      <c r="C304" s="114">
        <v>4370</v>
      </c>
      <c r="D304" s="138" t="s">
        <v>191</v>
      </c>
      <c r="E304" s="51">
        <v>1260</v>
      </c>
      <c r="F304" s="324">
        <v>876.02</v>
      </c>
      <c r="G304" s="276">
        <f t="shared" si="39"/>
        <v>0.6952539682539682</v>
      </c>
      <c r="H304" s="51">
        <v>1260</v>
      </c>
      <c r="I304" s="324">
        <v>876.02</v>
      </c>
      <c r="J304" s="105"/>
      <c r="K304" s="292"/>
      <c r="L304" s="293"/>
      <c r="M304" s="316"/>
      <c r="N304" s="292"/>
      <c r="O304" s="293"/>
      <c r="P304" s="310"/>
    </row>
    <row r="305" spans="1:16" ht="20.25">
      <c r="A305" s="45"/>
      <c r="B305" s="84"/>
      <c r="C305" s="114">
        <v>4410</v>
      </c>
      <c r="D305" s="87" t="s">
        <v>56</v>
      </c>
      <c r="E305" s="51">
        <v>1220</v>
      </c>
      <c r="F305" s="324">
        <v>586.58</v>
      </c>
      <c r="G305" s="276">
        <f t="shared" si="39"/>
        <v>0.4808032786885246</v>
      </c>
      <c r="H305" s="51">
        <v>1220</v>
      </c>
      <c r="I305" s="324">
        <v>586.58</v>
      </c>
      <c r="J305" s="105">
        <f t="shared" si="40"/>
        <v>0.4808032786885246</v>
      </c>
      <c r="K305" s="292"/>
      <c r="L305" s="293"/>
      <c r="M305" s="316"/>
      <c r="N305" s="292"/>
      <c r="O305" s="293"/>
      <c r="P305" s="310"/>
    </row>
    <row r="306" spans="1:16" ht="20.25">
      <c r="A306" s="45"/>
      <c r="B306" s="84"/>
      <c r="C306" s="114">
        <v>4440</v>
      </c>
      <c r="D306" s="87" t="s">
        <v>129</v>
      </c>
      <c r="E306" s="51">
        <v>16640</v>
      </c>
      <c r="F306" s="324">
        <v>16640</v>
      </c>
      <c r="G306" s="276">
        <f t="shared" si="39"/>
        <v>1</v>
      </c>
      <c r="H306" s="51">
        <v>16640</v>
      </c>
      <c r="I306" s="324">
        <v>16640</v>
      </c>
      <c r="J306" s="105">
        <f t="shared" si="40"/>
        <v>1</v>
      </c>
      <c r="K306" s="292"/>
      <c r="L306" s="293"/>
      <c r="M306" s="316"/>
      <c r="N306" s="292"/>
      <c r="O306" s="293"/>
      <c r="P306" s="310"/>
    </row>
    <row r="307" spans="1:16" ht="20.25">
      <c r="A307" s="45"/>
      <c r="B307" s="84"/>
      <c r="C307" s="114">
        <v>4580</v>
      </c>
      <c r="D307" s="87" t="s">
        <v>24</v>
      </c>
      <c r="E307" s="51">
        <v>15</v>
      </c>
      <c r="F307" s="324">
        <v>14.49</v>
      </c>
      <c r="G307" s="276">
        <f t="shared" si="39"/>
        <v>0.966</v>
      </c>
      <c r="H307" s="51">
        <v>15</v>
      </c>
      <c r="I307" s="324">
        <v>14.49</v>
      </c>
      <c r="J307" s="105">
        <f t="shared" si="40"/>
        <v>0.966</v>
      </c>
      <c r="K307" s="292"/>
      <c r="L307" s="293"/>
      <c r="M307" s="316"/>
      <c r="N307" s="292"/>
      <c r="O307" s="293"/>
      <c r="P307" s="310"/>
    </row>
    <row r="308" spans="1:16" ht="40.5">
      <c r="A308" s="45"/>
      <c r="B308" s="84"/>
      <c r="C308" s="114">
        <v>4740</v>
      </c>
      <c r="D308" s="58" t="s">
        <v>182</v>
      </c>
      <c r="E308" s="51">
        <v>200</v>
      </c>
      <c r="F308" s="324">
        <v>0</v>
      </c>
      <c r="G308" s="276">
        <f t="shared" si="39"/>
        <v>0</v>
      </c>
      <c r="H308" s="51">
        <v>200</v>
      </c>
      <c r="I308" s="324">
        <v>0</v>
      </c>
      <c r="J308" s="105">
        <f t="shared" si="40"/>
        <v>0</v>
      </c>
      <c r="K308" s="292"/>
      <c r="L308" s="293"/>
      <c r="M308" s="316"/>
      <c r="N308" s="292"/>
      <c r="O308" s="293"/>
      <c r="P308" s="310"/>
    </row>
    <row r="309" spans="1:16" ht="40.5">
      <c r="A309" s="45"/>
      <c r="B309" s="84"/>
      <c r="C309" s="114">
        <v>4750</v>
      </c>
      <c r="D309" s="58" t="s">
        <v>183</v>
      </c>
      <c r="E309" s="51">
        <v>70</v>
      </c>
      <c r="F309" s="324">
        <v>63</v>
      </c>
      <c r="G309" s="276">
        <f t="shared" si="39"/>
        <v>0.9</v>
      </c>
      <c r="H309" s="51">
        <v>70</v>
      </c>
      <c r="I309" s="324">
        <v>63</v>
      </c>
      <c r="J309" s="105">
        <f t="shared" si="40"/>
        <v>0.9</v>
      </c>
      <c r="K309" s="292"/>
      <c r="L309" s="293"/>
      <c r="M309" s="316"/>
      <c r="N309" s="292"/>
      <c r="O309" s="293"/>
      <c r="P309" s="310"/>
    </row>
    <row r="310" spans="1:16" ht="20.25">
      <c r="A310" s="45"/>
      <c r="B310" s="78">
        <v>80146</v>
      </c>
      <c r="C310" s="116"/>
      <c r="D310" s="78" t="s">
        <v>65</v>
      </c>
      <c r="E310" s="79">
        <f>SUM(E311:E314)</f>
        <v>23300</v>
      </c>
      <c r="F310" s="79">
        <f>SUM(F311:F314)</f>
        <v>12819.57</v>
      </c>
      <c r="G310" s="287">
        <f aca="true" t="shared" si="41" ref="G310:G326">F310/E310</f>
        <v>0.5501961373390558</v>
      </c>
      <c r="H310" s="79">
        <f>SUM(H311:H314)</f>
        <v>23300</v>
      </c>
      <c r="I310" s="79">
        <f>SUM(I311:I314)</f>
        <v>12819.57</v>
      </c>
      <c r="J310" s="96">
        <f aca="true" t="shared" si="42" ref="J310:J326">I310/H310</f>
        <v>0.5501961373390558</v>
      </c>
      <c r="K310" s="289"/>
      <c r="L310" s="79"/>
      <c r="M310" s="290"/>
      <c r="N310" s="289"/>
      <c r="O310" s="79"/>
      <c r="P310" s="125"/>
    </row>
    <row r="311" spans="1:16" ht="20.25">
      <c r="A311" s="45"/>
      <c r="B311" s="45"/>
      <c r="C311" s="114">
        <v>4210</v>
      </c>
      <c r="D311" s="87" t="s">
        <v>43</v>
      </c>
      <c r="E311" s="51">
        <v>250</v>
      </c>
      <c r="F311" s="71">
        <v>250</v>
      </c>
      <c r="G311" s="276"/>
      <c r="H311" s="51">
        <v>250</v>
      </c>
      <c r="I311" s="71">
        <v>250</v>
      </c>
      <c r="J311" s="52">
        <f t="shared" si="42"/>
        <v>1</v>
      </c>
      <c r="K311" s="265"/>
      <c r="L311" s="67"/>
      <c r="M311" s="266"/>
      <c r="N311" s="265"/>
      <c r="O311" s="67"/>
      <c r="P311" s="69"/>
    </row>
    <row r="312" spans="1:16" ht="20.25">
      <c r="A312" s="45"/>
      <c r="B312" s="84"/>
      <c r="C312" s="114">
        <v>4300</v>
      </c>
      <c r="D312" s="87" t="s">
        <v>45</v>
      </c>
      <c r="E312" s="51">
        <v>11510</v>
      </c>
      <c r="F312" s="324">
        <v>3755</v>
      </c>
      <c r="G312" s="276">
        <f t="shared" si="41"/>
        <v>0.3262380538662033</v>
      </c>
      <c r="H312" s="51">
        <v>11510</v>
      </c>
      <c r="I312" s="324">
        <v>3755</v>
      </c>
      <c r="J312" s="105">
        <f t="shared" si="42"/>
        <v>0.3262380538662033</v>
      </c>
      <c r="K312" s="292"/>
      <c r="L312" s="293"/>
      <c r="M312" s="316"/>
      <c r="N312" s="292"/>
      <c r="O312" s="293"/>
      <c r="P312" s="310"/>
    </row>
    <row r="313" spans="1:16" ht="20.25">
      <c r="A313" s="45"/>
      <c r="B313" s="84"/>
      <c r="C313" s="114">
        <v>4410</v>
      </c>
      <c r="D313" s="87" t="s">
        <v>56</v>
      </c>
      <c r="E313" s="51">
        <v>4760</v>
      </c>
      <c r="F313" s="324">
        <v>2169.41</v>
      </c>
      <c r="G313" s="276">
        <f t="shared" si="41"/>
        <v>0.4557584033613445</v>
      </c>
      <c r="H313" s="51">
        <v>4760</v>
      </c>
      <c r="I313" s="324">
        <v>2169.41</v>
      </c>
      <c r="J313" s="105">
        <f t="shared" si="42"/>
        <v>0.4557584033613445</v>
      </c>
      <c r="K313" s="292"/>
      <c r="L313" s="293"/>
      <c r="M313" s="316"/>
      <c r="N313" s="292"/>
      <c r="O313" s="293"/>
      <c r="P313" s="310"/>
    </row>
    <row r="314" spans="1:16" ht="40.5">
      <c r="A314" s="45"/>
      <c r="B314" s="84"/>
      <c r="C314" s="384">
        <v>4700</v>
      </c>
      <c r="D314" s="58" t="s">
        <v>190</v>
      </c>
      <c r="E314" s="51">
        <v>6780</v>
      </c>
      <c r="F314" s="324">
        <v>6645.16</v>
      </c>
      <c r="G314" s="276">
        <f t="shared" si="41"/>
        <v>0.9801120943952802</v>
      </c>
      <c r="H314" s="51">
        <v>6780</v>
      </c>
      <c r="I314" s="324">
        <v>6645.16</v>
      </c>
      <c r="J314" s="105">
        <f t="shared" si="42"/>
        <v>0.9801120943952802</v>
      </c>
      <c r="K314" s="292"/>
      <c r="L314" s="293"/>
      <c r="M314" s="316"/>
      <c r="N314" s="292"/>
      <c r="O314" s="293"/>
      <c r="P314" s="310"/>
    </row>
    <row r="315" spans="1:16" ht="20.25">
      <c r="A315" s="45"/>
      <c r="B315" s="78">
        <v>80195</v>
      </c>
      <c r="C315" s="116"/>
      <c r="D315" s="78" t="s">
        <v>4</v>
      </c>
      <c r="E315" s="79">
        <f>SUM(E316:E325)</f>
        <v>127464</v>
      </c>
      <c r="F315" s="79">
        <f>SUM(F316:F325)</f>
        <v>110823.78</v>
      </c>
      <c r="G315" s="287">
        <f t="shared" si="41"/>
        <v>0.8694516098663152</v>
      </c>
      <c r="H315" s="79">
        <f>SUM(H316:H325)</f>
        <v>127464</v>
      </c>
      <c r="I315" s="79">
        <f>SUM(I316:I325)</f>
        <v>110823.78</v>
      </c>
      <c r="J315" s="81">
        <f t="shared" si="42"/>
        <v>0.8694516098663152</v>
      </c>
      <c r="K315" s="289"/>
      <c r="L315" s="79"/>
      <c r="M315" s="290"/>
      <c r="N315" s="289"/>
      <c r="O315" s="79"/>
      <c r="P315" s="125"/>
    </row>
    <row r="316" spans="1:16" ht="20.25">
      <c r="A316" s="45"/>
      <c r="B316" s="45"/>
      <c r="C316" s="114">
        <v>4010</v>
      </c>
      <c r="D316" s="346" t="s">
        <v>48</v>
      </c>
      <c r="E316" s="51">
        <v>568</v>
      </c>
      <c r="F316" s="71">
        <v>568.23</v>
      </c>
      <c r="G316" s="263">
        <f t="shared" si="41"/>
        <v>1.0004049295774649</v>
      </c>
      <c r="H316" s="51">
        <v>568</v>
      </c>
      <c r="I316" s="71">
        <v>568.23</v>
      </c>
      <c r="J316" s="102">
        <f t="shared" si="42"/>
        <v>1.0004049295774649</v>
      </c>
      <c r="K316" s="265"/>
      <c r="L316" s="67"/>
      <c r="M316" s="266"/>
      <c r="N316" s="265"/>
      <c r="O316" s="67"/>
      <c r="P316" s="69"/>
    </row>
    <row r="317" spans="1:16" ht="20.25">
      <c r="A317" s="45"/>
      <c r="B317" s="45"/>
      <c r="C317" s="114">
        <v>4110</v>
      </c>
      <c r="D317" s="346" t="s">
        <v>50</v>
      </c>
      <c r="E317" s="51">
        <v>275</v>
      </c>
      <c r="F317" s="71">
        <v>160.52</v>
      </c>
      <c r="G317" s="263">
        <f t="shared" si="41"/>
        <v>0.583709090909091</v>
      </c>
      <c r="H317" s="51">
        <v>275</v>
      </c>
      <c r="I317" s="71">
        <v>160.52</v>
      </c>
      <c r="J317" s="102">
        <f t="shared" si="42"/>
        <v>0.583709090909091</v>
      </c>
      <c r="K317" s="265"/>
      <c r="L317" s="67"/>
      <c r="M317" s="266"/>
      <c r="N317" s="265"/>
      <c r="O317" s="67"/>
      <c r="P317" s="69"/>
    </row>
    <row r="318" spans="1:16" ht="20.25">
      <c r="A318" s="45"/>
      <c r="B318" s="45"/>
      <c r="C318" s="114">
        <v>4120</v>
      </c>
      <c r="D318" s="346" t="s">
        <v>51</v>
      </c>
      <c r="E318" s="51">
        <v>39</v>
      </c>
      <c r="F318" s="71">
        <v>22.53</v>
      </c>
      <c r="G318" s="263">
        <f t="shared" si="41"/>
        <v>0.5776923076923077</v>
      </c>
      <c r="H318" s="51">
        <v>39</v>
      </c>
      <c r="I318" s="71">
        <v>22.53</v>
      </c>
      <c r="J318" s="102">
        <f t="shared" si="42"/>
        <v>0.5776923076923077</v>
      </c>
      <c r="K318" s="265"/>
      <c r="L318" s="67"/>
      <c r="M318" s="266"/>
      <c r="N318" s="265"/>
      <c r="O318" s="67"/>
      <c r="P318" s="69"/>
    </row>
    <row r="319" spans="1:16" ht="20.25">
      <c r="A319" s="45"/>
      <c r="B319" s="45"/>
      <c r="C319" s="114">
        <v>4170</v>
      </c>
      <c r="D319" s="346" t="s">
        <v>98</v>
      </c>
      <c r="E319" s="51">
        <v>1010</v>
      </c>
      <c r="F319" s="71">
        <v>1009.77</v>
      </c>
      <c r="G319" s="263">
        <f t="shared" si="41"/>
        <v>0.9997722772277228</v>
      </c>
      <c r="H319" s="51">
        <v>1010</v>
      </c>
      <c r="I319" s="71">
        <v>1009.77</v>
      </c>
      <c r="J319" s="102">
        <f t="shared" si="42"/>
        <v>0.9997722772277228</v>
      </c>
      <c r="K319" s="265"/>
      <c r="L319" s="67"/>
      <c r="M319" s="266"/>
      <c r="N319" s="265"/>
      <c r="O319" s="67"/>
      <c r="P319" s="69"/>
    </row>
    <row r="320" spans="1:16" ht="20.25">
      <c r="A320" s="45"/>
      <c r="B320" s="45"/>
      <c r="C320" s="114">
        <v>4210</v>
      </c>
      <c r="D320" s="346" t="s">
        <v>43</v>
      </c>
      <c r="E320" s="51">
        <v>2258</v>
      </c>
      <c r="F320" s="71">
        <v>1919.33</v>
      </c>
      <c r="G320" s="263">
        <f t="shared" si="41"/>
        <v>0.8500132860938884</v>
      </c>
      <c r="H320" s="51">
        <v>2258</v>
      </c>
      <c r="I320" s="71">
        <v>1919.33</v>
      </c>
      <c r="J320" s="102">
        <f t="shared" si="42"/>
        <v>0.8500132860938884</v>
      </c>
      <c r="K320" s="265"/>
      <c r="L320" s="67"/>
      <c r="M320" s="266"/>
      <c r="N320" s="265"/>
      <c r="O320" s="67"/>
      <c r="P320" s="69"/>
    </row>
    <row r="321" spans="1:16" ht="24" customHeight="1">
      <c r="A321" s="45"/>
      <c r="B321" s="45"/>
      <c r="C321" s="114">
        <v>4240</v>
      </c>
      <c r="D321" s="138" t="s">
        <v>135</v>
      </c>
      <c r="E321" s="51">
        <v>920</v>
      </c>
      <c r="F321" s="71">
        <v>920</v>
      </c>
      <c r="G321" s="263">
        <f t="shared" si="41"/>
        <v>1</v>
      </c>
      <c r="H321" s="51">
        <v>920</v>
      </c>
      <c r="I321" s="71">
        <v>920</v>
      </c>
      <c r="J321" s="102">
        <f t="shared" si="42"/>
        <v>1</v>
      </c>
      <c r="K321" s="265"/>
      <c r="L321" s="67"/>
      <c r="M321" s="266"/>
      <c r="N321" s="265"/>
      <c r="O321" s="67"/>
      <c r="P321" s="69"/>
    </row>
    <row r="322" spans="1:16" ht="20.25">
      <c r="A322" s="45"/>
      <c r="B322" s="45"/>
      <c r="C322" s="114">
        <v>4300</v>
      </c>
      <c r="D322" s="346" t="s">
        <v>45</v>
      </c>
      <c r="E322" s="51">
        <v>43018</v>
      </c>
      <c r="F322" s="71">
        <v>26856.12</v>
      </c>
      <c r="G322" s="263">
        <f t="shared" si="41"/>
        <v>0.6242995955181552</v>
      </c>
      <c r="H322" s="51">
        <v>43018</v>
      </c>
      <c r="I322" s="71">
        <v>26856.12</v>
      </c>
      <c r="J322" s="102">
        <f t="shared" si="42"/>
        <v>0.6242995955181552</v>
      </c>
      <c r="K322" s="265"/>
      <c r="L322" s="67"/>
      <c r="M322" s="266"/>
      <c r="N322" s="265"/>
      <c r="O322" s="67"/>
      <c r="P322" s="69"/>
    </row>
    <row r="323" spans="1:16" ht="20.25">
      <c r="A323" s="45"/>
      <c r="B323" s="45"/>
      <c r="C323" s="114">
        <v>4430</v>
      </c>
      <c r="D323" s="346" t="s">
        <v>54</v>
      </c>
      <c r="E323" s="51">
        <v>79</v>
      </c>
      <c r="F323" s="71">
        <v>71.18</v>
      </c>
      <c r="G323" s="263">
        <f t="shared" si="41"/>
        <v>0.9010126582278482</v>
      </c>
      <c r="H323" s="51">
        <v>79</v>
      </c>
      <c r="I323" s="71">
        <v>71.18</v>
      </c>
      <c r="J323" s="102">
        <f t="shared" si="42"/>
        <v>0.9010126582278482</v>
      </c>
      <c r="K323" s="265"/>
      <c r="L323" s="67"/>
      <c r="M323" s="266"/>
      <c r="N323" s="265"/>
      <c r="O323" s="67"/>
      <c r="P323" s="69"/>
    </row>
    <row r="324" spans="1:16" ht="20.25">
      <c r="A324" s="45"/>
      <c r="B324" s="45"/>
      <c r="C324" s="114">
        <v>4440</v>
      </c>
      <c r="D324" s="346" t="s">
        <v>129</v>
      </c>
      <c r="E324" s="51">
        <v>39150</v>
      </c>
      <c r="F324" s="71">
        <v>39150</v>
      </c>
      <c r="G324" s="263">
        <f t="shared" si="41"/>
        <v>1</v>
      </c>
      <c r="H324" s="51">
        <v>39150</v>
      </c>
      <c r="I324" s="71">
        <v>39150</v>
      </c>
      <c r="J324" s="102">
        <f t="shared" si="42"/>
        <v>1</v>
      </c>
      <c r="K324" s="265"/>
      <c r="L324" s="67"/>
      <c r="M324" s="266"/>
      <c r="N324" s="265"/>
      <c r="O324" s="67"/>
      <c r="P324" s="69"/>
    </row>
    <row r="325" spans="1:16" ht="21" thickBot="1">
      <c r="A325" s="45"/>
      <c r="B325" s="84"/>
      <c r="C325" s="114">
        <v>6050</v>
      </c>
      <c r="D325" s="346" t="s">
        <v>73</v>
      </c>
      <c r="E325" s="51">
        <v>40147</v>
      </c>
      <c r="F325" s="71">
        <v>40146.1</v>
      </c>
      <c r="G325" s="276">
        <f t="shared" si="41"/>
        <v>0.9999775823847361</v>
      </c>
      <c r="H325" s="51">
        <v>40147</v>
      </c>
      <c r="I325" s="71">
        <v>40146.1</v>
      </c>
      <c r="J325" s="105">
        <f t="shared" si="42"/>
        <v>0.9999775823847361</v>
      </c>
      <c r="K325" s="277"/>
      <c r="L325" s="51"/>
      <c r="M325" s="326"/>
      <c r="N325" s="277"/>
      <c r="O325" s="51"/>
      <c r="P325" s="73"/>
    </row>
    <row r="326" spans="1:16" s="420" customFormat="1" ht="30" customHeight="1" thickBot="1">
      <c r="A326" s="113">
        <v>851</v>
      </c>
      <c r="B326" s="113"/>
      <c r="C326" s="113"/>
      <c r="D326" s="113" t="s">
        <v>16</v>
      </c>
      <c r="E326" s="168">
        <f>E327+E331</f>
        <v>85000</v>
      </c>
      <c r="F326" s="168">
        <f>F327+F331</f>
        <v>66320.23000000001</v>
      </c>
      <c r="G326" s="399">
        <f t="shared" si="41"/>
        <v>0.7802380000000001</v>
      </c>
      <c r="H326" s="168">
        <f>H327+H331</f>
        <v>85000</v>
      </c>
      <c r="I326" s="168">
        <f>I327+I331</f>
        <v>66320.23000000001</v>
      </c>
      <c r="J326" s="191">
        <f t="shared" si="42"/>
        <v>0.7802380000000001</v>
      </c>
      <c r="K326" s="409"/>
      <c r="L326" s="410"/>
      <c r="M326" s="411"/>
      <c r="N326" s="409"/>
      <c r="O326" s="410"/>
      <c r="P326" s="412"/>
    </row>
    <row r="327" spans="1:16" ht="20.25">
      <c r="A327" s="421"/>
      <c r="B327" s="421">
        <v>85153</v>
      </c>
      <c r="C327" s="422"/>
      <c r="D327" s="421" t="s">
        <v>145</v>
      </c>
      <c r="E327" s="423">
        <f>SUM(E329:E330)</f>
        <v>2000</v>
      </c>
      <c r="F327" s="423">
        <f>SUM(F329:F330)</f>
        <v>1168.3200000000002</v>
      </c>
      <c r="G327" s="424">
        <f aca="true" t="shared" si="43" ref="G327:G333">F327/E327</f>
        <v>0.5841600000000001</v>
      </c>
      <c r="H327" s="423">
        <f>SUM(H329:H330)</f>
        <v>2000</v>
      </c>
      <c r="I327" s="423">
        <f>SUM(I329:I330)</f>
        <v>1168.3200000000002</v>
      </c>
      <c r="J327" s="425">
        <f>I327/H327</f>
        <v>0.5841600000000001</v>
      </c>
      <c r="K327" s="426"/>
      <c r="L327" s="423"/>
      <c r="M327" s="427"/>
      <c r="N327" s="426"/>
      <c r="O327" s="423"/>
      <c r="P327" s="428"/>
    </row>
    <row r="328" spans="1:16" ht="15.75" customHeight="1" thickBot="1">
      <c r="A328" s="253">
        <v>1</v>
      </c>
      <c r="B328" s="253">
        <v>2</v>
      </c>
      <c r="C328" s="253">
        <v>3</v>
      </c>
      <c r="D328" s="253">
        <v>4</v>
      </c>
      <c r="E328" s="254">
        <v>5</v>
      </c>
      <c r="F328" s="254">
        <v>6</v>
      </c>
      <c r="G328" s="255">
        <v>7</v>
      </c>
      <c r="H328" s="256">
        <v>8</v>
      </c>
      <c r="I328" s="254">
        <v>9</v>
      </c>
      <c r="J328" s="257">
        <v>10</v>
      </c>
      <c r="K328" s="258">
        <v>11</v>
      </c>
      <c r="L328" s="259">
        <v>12</v>
      </c>
      <c r="M328" s="255">
        <v>13</v>
      </c>
      <c r="N328" s="260">
        <v>14</v>
      </c>
      <c r="O328" s="261">
        <v>15</v>
      </c>
      <c r="P328" s="261">
        <v>16</v>
      </c>
    </row>
    <row r="329" spans="1:16" ht="21" thickTop="1">
      <c r="A329" s="211"/>
      <c r="B329" s="211"/>
      <c r="C329" s="354">
        <v>4210</v>
      </c>
      <c r="D329" s="212" t="s">
        <v>43</v>
      </c>
      <c r="E329" s="213">
        <v>1000</v>
      </c>
      <c r="F329" s="213">
        <v>668.32</v>
      </c>
      <c r="G329" s="365">
        <f t="shared" si="43"/>
        <v>0.66832</v>
      </c>
      <c r="H329" s="213">
        <v>1000</v>
      </c>
      <c r="I329" s="213">
        <v>668.32</v>
      </c>
      <c r="J329" s="240">
        <f>I329/H329</f>
        <v>0.66832</v>
      </c>
      <c r="K329" s="366"/>
      <c r="L329" s="239"/>
      <c r="M329" s="367"/>
      <c r="N329" s="366"/>
      <c r="O329" s="239"/>
      <c r="P329" s="241"/>
    </row>
    <row r="330" spans="1:16" ht="20.25">
      <c r="A330" s="45"/>
      <c r="B330" s="45"/>
      <c r="C330" s="114">
        <v>4300</v>
      </c>
      <c r="D330" s="87" t="s">
        <v>45</v>
      </c>
      <c r="E330" s="51">
        <v>1000</v>
      </c>
      <c r="F330" s="51">
        <v>500</v>
      </c>
      <c r="G330" s="263">
        <f t="shared" si="43"/>
        <v>0.5</v>
      </c>
      <c r="H330" s="51">
        <v>1000</v>
      </c>
      <c r="I330" s="51">
        <v>500</v>
      </c>
      <c r="J330" s="52">
        <f>I330/H330</f>
        <v>0.5</v>
      </c>
      <c r="K330" s="265"/>
      <c r="L330" s="67"/>
      <c r="M330" s="266"/>
      <c r="N330" s="265"/>
      <c r="O330" s="67"/>
      <c r="P330" s="69"/>
    </row>
    <row r="331" spans="1:16" ht="15.75" customHeight="1">
      <c r="A331" s="66"/>
      <c r="B331" s="78">
        <v>85154</v>
      </c>
      <c r="C331" s="116"/>
      <c r="D331" s="78" t="s">
        <v>66</v>
      </c>
      <c r="E331" s="79">
        <f>SUM(E332:E341)</f>
        <v>83000</v>
      </c>
      <c r="F331" s="79">
        <f>SUM(F332:F341)</f>
        <v>65151.91</v>
      </c>
      <c r="G331" s="287">
        <f t="shared" si="43"/>
        <v>0.7849627710843374</v>
      </c>
      <c r="H331" s="79">
        <f>SUM(H332:H341)</f>
        <v>83000</v>
      </c>
      <c r="I331" s="79">
        <f>SUM(I332:I341)</f>
        <v>65151.91</v>
      </c>
      <c r="J331" s="81">
        <f>I331/H331</f>
        <v>0.7849627710843374</v>
      </c>
      <c r="K331" s="305"/>
      <c r="L331" s="306"/>
      <c r="M331" s="307"/>
      <c r="N331" s="305"/>
      <c r="O331" s="306"/>
      <c r="P331" s="308"/>
    </row>
    <row r="332" spans="1:16" ht="57" customHeight="1">
      <c r="A332" s="66"/>
      <c r="B332" s="45"/>
      <c r="C332" s="114">
        <v>2820</v>
      </c>
      <c r="D332" s="58" t="s">
        <v>136</v>
      </c>
      <c r="E332" s="51">
        <v>30000</v>
      </c>
      <c r="F332" s="51">
        <v>30000</v>
      </c>
      <c r="G332" s="276">
        <f t="shared" si="43"/>
        <v>1</v>
      </c>
      <c r="H332" s="51">
        <v>30000</v>
      </c>
      <c r="I332" s="51">
        <v>30000</v>
      </c>
      <c r="J332" s="105">
        <f>I332/H332</f>
        <v>1</v>
      </c>
      <c r="K332" s="292"/>
      <c r="L332" s="293"/>
      <c r="M332" s="316"/>
      <c r="N332" s="292"/>
      <c r="O332" s="293"/>
      <c r="P332" s="310"/>
    </row>
    <row r="333" spans="1:16" ht="20.25">
      <c r="A333" s="66"/>
      <c r="B333" s="45"/>
      <c r="C333" s="114">
        <v>3000</v>
      </c>
      <c r="D333" s="58" t="s">
        <v>193</v>
      </c>
      <c r="E333" s="51">
        <v>5040</v>
      </c>
      <c r="F333" s="71">
        <v>5040</v>
      </c>
      <c r="G333" s="276">
        <f t="shared" si="43"/>
        <v>1</v>
      </c>
      <c r="H333" s="51">
        <v>5040</v>
      </c>
      <c r="I333" s="71">
        <v>5040</v>
      </c>
      <c r="J333" s="105">
        <f>I333/H333</f>
        <v>1</v>
      </c>
      <c r="K333" s="292"/>
      <c r="L333" s="293"/>
      <c r="M333" s="316"/>
      <c r="N333" s="292"/>
      <c r="O333" s="293"/>
      <c r="P333" s="310"/>
    </row>
    <row r="334" spans="1:16" ht="20.25">
      <c r="A334" s="45"/>
      <c r="B334" s="84"/>
      <c r="C334" s="114">
        <v>4170</v>
      </c>
      <c r="D334" s="87" t="s">
        <v>98</v>
      </c>
      <c r="E334" s="51">
        <v>3100</v>
      </c>
      <c r="F334" s="324">
        <v>2990</v>
      </c>
      <c r="G334" s="276">
        <f aca="true" t="shared" si="44" ref="G334:G343">F334/E334</f>
        <v>0.964516129032258</v>
      </c>
      <c r="H334" s="51">
        <v>3100</v>
      </c>
      <c r="I334" s="324">
        <v>2990</v>
      </c>
      <c r="J334" s="105">
        <f aca="true" t="shared" si="45" ref="J334:J342">I334/H334</f>
        <v>0.964516129032258</v>
      </c>
      <c r="K334" s="292"/>
      <c r="L334" s="293"/>
      <c r="M334" s="316"/>
      <c r="N334" s="292"/>
      <c r="O334" s="293"/>
      <c r="P334" s="310"/>
    </row>
    <row r="335" spans="1:16" ht="20.25">
      <c r="A335" s="45"/>
      <c r="B335" s="45"/>
      <c r="C335" s="114">
        <v>4210</v>
      </c>
      <c r="D335" s="87" t="s">
        <v>43</v>
      </c>
      <c r="E335" s="51">
        <v>2000</v>
      </c>
      <c r="F335" s="51">
        <v>1010.65</v>
      </c>
      <c r="G335" s="276">
        <f t="shared" si="44"/>
        <v>0.505325</v>
      </c>
      <c r="H335" s="51">
        <v>2000</v>
      </c>
      <c r="I335" s="51">
        <v>1010.65</v>
      </c>
      <c r="J335" s="105">
        <f t="shared" si="45"/>
        <v>0.505325</v>
      </c>
      <c r="K335" s="292"/>
      <c r="L335" s="293"/>
      <c r="M335" s="316"/>
      <c r="N335" s="292"/>
      <c r="O335" s="293"/>
      <c r="P335" s="310"/>
    </row>
    <row r="336" spans="1:16" ht="40.5">
      <c r="A336" s="45"/>
      <c r="B336" s="45"/>
      <c r="C336" s="114">
        <v>4230</v>
      </c>
      <c r="D336" s="126" t="s">
        <v>198</v>
      </c>
      <c r="E336" s="51">
        <v>2500</v>
      </c>
      <c r="F336" s="51">
        <v>1557.2</v>
      </c>
      <c r="G336" s="276">
        <f t="shared" si="44"/>
        <v>0.62288</v>
      </c>
      <c r="H336" s="51">
        <v>2500</v>
      </c>
      <c r="I336" s="51">
        <v>1557.2</v>
      </c>
      <c r="J336" s="105">
        <f t="shared" si="45"/>
        <v>0.62288</v>
      </c>
      <c r="K336" s="292"/>
      <c r="L336" s="293"/>
      <c r="M336" s="316"/>
      <c r="N336" s="292"/>
      <c r="O336" s="293"/>
      <c r="P336" s="310"/>
    </row>
    <row r="337" spans="1:16" ht="20.25">
      <c r="A337" s="45"/>
      <c r="B337" s="45"/>
      <c r="C337" s="114">
        <v>4280</v>
      </c>
      <c r="D337" s="87" t="s">
        <v>102</v>
      </c>
      <c r="E337" s="51">
        <v>5000</v>
      </c>
      <c r="F337" s="51">
        <v>3622</v>
      </c>
      <c r="G337" s="276">
        <f t="shared" si="44"/>
        <v>0.7244</v>
      </c>
      <c r="H337" s="51">
        <v>5000</v>
      </c>
      <c r="I337" s="51">
        <v>3622</v>
      </c>
      <c r="J337" s="105">
        <f t="shared" si="45"/>
        <v>0.7244</v>
      </c>
      <c r="K337" s="292"/>
      <c r="L337" s="293"/>
      <c r="M337" s="316"/>
      <c r="N337" s="292"/>
      <c r="O337" s="293"/>
      <c r="P337" s="310"/>
    </row>
    <row r="338" spans="1:16" ht="20.25">
      <c r="A338" s="66"/>
      <c r="B338" s="45"/>
      <c r="C338" s="114">
        <v>4300</v>
      </c>
      <c r="D338" s="87" t="s">
        <v>45</v>
      </c>
      <c r="E338" s="51">
        <v>32860</v>
      </c>
      <c r="F338" s="51">
        <v>19497.62</v>
      </c>
      <c r="G338" s="276">
        <f t="shared" si="44"/>
        <v>0.5933542300669506</v>
      </c>
      <c r="H338" s="51">
        <v>32860</v>
      </c>
      <c r="I338" s="51">
        <v>19497.62</v>
      </c>
      <c r="J338" s="105">
        <f t="shared" si="45"/>
        <v>0.5933542300669506</v>
      </c>
      <c r="K338" s="292"/>
      <c r="L338" s="293"/>
      <c r="M338" s="316"/>
      <c r="N338" s="292"/>
      <c r="O338" s="293"/>
      <c r="P338" s="310"/>
    </row>
    <row r="339" spans="1:16" ht="20.25">
      <c r="A339" s="66"/>
      <c r="B339" s="45"/>
      <c r="C339" s="114">
        <v>4410</v>
      </c>
      <c r="D339" s="87" t="s">
        <v>56</v>
      </c>
      <c r="E339" s="51">
        <v>1000</v>
      </c>
      <c r="F339" s="51">
        <v>954.44</v>
      </c>
      <c r="G339" s="276">
        <f t="shared" si="44"/>
        <v>0.9544400000000001</v>
      </c>
      <c r="H339" s="51">
        <v>1000</v>
      </c>
      <c r="I339" s="51">
        <v>954.44</v>
      </c>
      <c r="J339" s="105">
        <f t="shared" si="45"/>
        <v>0.9544400000000001</v>
      </c>
      <c r="K339" s="292"/>
      <c r="L339" s="293"/>
      <c r="M339" s="316"/>
      <c r="N339" s="292"/>
      <c r="O339" s="293"/>
      <c r="P339" s="310"/>
    </row>
    <row r="340" spans="1:16" ht="25.5" customHeight="1">
      <c r="A340" s="66"/>
      <c r="B340" s="45"/>
      <c r="C340" s="114">
        <v>4610</v>
      </c>
      <c r="D340" s="58" t="s">
        <v>186</v>
      </c>
      <c r="E340" s="51">
        <v>1000</v>
      </c>
      <c r="F340" s="51">
        <v>40</v>
      </c>
      <c r="G340" s="276">
        <f t="shared" si="44"/>
        <v>0.04</v>
      </c>
      <c r="H340" s="51">
        <v>1000</v>
      </c>
      <c r="I340" s="51">
        <v>40</v>
      </c>
      <c r="J340" s="105">
        <f t="shared" si="45"/>
        <v>0.04</v>
      </c>
      <c r="K340" s="292"/>
      <c r="L340" s="293"/>
      <c r="M340" s="316"/>
      <c r="N340" s="292"/>
      <c r="O340" s="293"/>
      <c r="P340" s="310"/>
    </row>
    <row r="341" spans="1:16" ht="37.5" customHeight="1" thickBot="1">
      <c r="A341" s="66"/>
      <c r="B341" s="45"/>
      <c r="C341" s="384">
        <v>4700</v>
      </c>
      <c r="D341" s="58" t="s">
        <v>190</v>
      </c>
      <c r="E341" s="51">
        <v>500</v>
      </c>
      <c r="F341" s="51">
        <v>440</v>
      </c>
      <c r="G341" s="276">
        <f t="shared" si="44"/>
        <v>0.88</v>
      </c>
      <c r="H341" s="51">
        <v>500</v>
      </c>
      <c r="I341" s="51">
        <v>440</v>
      </c>
      <c r="J341" s="105">
        <f t="shared" si="45"/>
        <v>0.88</v>
      </c>
      <c r="K341" s="292"/>
      <c r="L341" s="293"/>
      <c r="M341" s="316"/>
      <c r="N341" s="292"/>
      <c r="O341" s="293"/>
      <c r="P341" s="310"/>
    </row>
    <row r="342" spans="1:181" s="420" customFormat="1" ht="24" customHeight="1" thickBot="1">
      <c r="A342" s="113">
        <v>852</v>
      </c>
      <c r="B342" s="113"/>
      <c r="C342" s="113"/>
      <c r="D342" s="113" t="s">
        <v>96</v>
      </c>
      <c r="E342" s="168">
        <f>E343+E358+E360+E363+E365+E384+E386</f>
        <v>2776719</v>
      </c>
      <c r="F342" s="168">
        <f>F343+F358+F360+F363+F365+F384+F386</f>
        <v>2755338.4699999997</v>
      </c>
      <c r="G342" s="399">
        <f t="shared" si="44"/>
        <v>0.9923000742963187</v>
      </c>
      <c r="H342" s="168">
        <f>H343+H358+H360+H363+H365+H384+H386</f>
        <v>870470</v>
      </c>
      <c r="I342" s="168">
        <f>I343+I358+I360+I363+I365+I384+I386</f>
        <v>867831.25</v>
      </c>
      <c r="J342" s="192">
        <f t="shared" si="45"/>
        <v>0.9969685916803566</v>
      </c>
      <c r="K342" s="193">
        <f>K343+K358+K360+K363+K365+K384+K386</f>
        <v>1906249</v>
      </c>
      <c r="L342" s="168">
        <f>L343+L358+L360+L363+L365+L384+L386</f>
        <v>1887507.2199999997</v>
      </c>
      <c r="M342" s="413">
        <f>L342/K342</f>
        <v>0.990168241399733</v>
      </c>
      <c r="N342" s="409"/>
      <c r="O342" s="410"/>
      <c r="P342" s="412"/>
      <c r="Q342" s="195"/>
      <c r="R342" s="195"/>
      <c r="S342" s="195"/>
      <c r="T342" s="195"/>
      <c r="U342" s="195"/>
      <c r="V342" s="195"/>
      <c r="W342" s="195"/>
      <c r="X342" s="195"/>
      <c r="Y342" s="195"/>
      <c r="Z342" s="195"/>
      <c r="AA342" s="195"/>
      <c r="AB342" s="195"/>
      <c r="AC342" s="195"/>
      <c r="AD342" s="195"/>
      <c r="AE342" s="195"/>
      <c r="AF342" s="195"/>
      <c r="AG342" s="195"/>
      <c r="AH342" s="195"/>
      <c r="AI342" s="195"/>
      <c r="AJ342" s="195"/>
      <c r="AK342" s="195"/>
      <c r="AL342" s="195"/>
      <c r="AM342" s="195"/>
      <c r="AN342" s="195"/>
      <c r="AO342" s="195"/>
      <c r="AP342" s="195"/>
      <c r="AQ342" s="195"/>
      <c r="AR342" s="195"/>
      <c r="AS342" s="195"/>
      <c r="AT342" s="195"/>
      <c r="AU342" s="195"/>
      <c r="AV342" s="195"/>
      <c r="AW342" s="195"/>
      <c r="AX342" s="195"/>
      <c r="AY342" s="195"/>
      <c r="AZ342" s="195"/>
      <c r="BA342" s="195"/>
      <c r="BB342" s="195"/>
      <c r="BC342" s="195"/>
      <c r="BD342" s="195"/>
      <c r="BE342" s="195"/>
      <c r="BF342" s="195"/>
      <c r="BG342" s="195"/>
      <c r="BH342" s="195"/>
      <c r="BI342" s="195"/>
      <c r="BJ342" s="195"/>
      <c r="BK342" s="195"/>
      <c r="BL342" s="195"/>
      <c r="BM342" s="195"/>
      <c r="BN342" s="195"/>
      <c r="BO342" s="195"/>
      <c r="BP342" s="195"/>
      <c r="BQ342" s="195"/>
      <c r="BR342" s="195"/>
      <c r="BS342" s="195"/>
      <c r="BT342" s="195"/>
      <c r="BU342" s="195"/>
      <c r="BV342" s="195"/>
      <c r="BW342" s="195"/>
      <c r="BX342" s="195"/>
      <c r="BY342" s="195"/>
      <c r="BZ342" s="195"/>
      <c r="CA342" s="195"/>
      <c r="CB342" s="195"/>
      <c r="CC342" s="195"/>
      <c r="CD342" s="195"/>
      <c r="CE342" s="195"/>
      <c r="CF342" s="195"/>
      <c r="CG342" s="195"/>
      <c r="CH342" s="195"/>
      <c r="CI342" s="195"/>
      <c r="CJ342" s="195"/>
      <c r="CK342" s="195"/>
      <c r="CL342" s="195"/>
      <c r="CM342" s="195"/>
      <c r="CN342" s="195"/>
      <c r="CO342" s="195"/>
      <c r="CP342" s="195"/>
      <c r="CQ342" s="195"/>
      <c r="CR342" s="195"/>
      <c r="CS342" s="195"/>
      <c r="CT342" s="195"/>
      <c r="CU342" s="195"/>
      <c r="CV342" s="195"/>
      <c r="CW342" s="195"/>
      <c r="CX342" s="195"/>
      <c r="CY342" s="195"/>
      <c r="CZ342" s="195"/>
      <c r="DA342" s="195"/>
      <c r="DB342" s="195"/>
      <c r="DC342" s="195"/>
      <c r="DD342" s="195"/>
      <c r="DE342" s="195"/>
      <c r="DF342" s="195"/>
      <c r="DG342" s="195"/>
      <c r="DH342" s="195"/>
      <c r="DI342" s="195"/>
      <c r="DJ342" s="195"/>
      <c r="DK342" s="195"/>
      <c r="DL342" s="195"/>
      <c r="DM342" s="195"/>
      <c r="DN342" s="195"/>
      <c r="DO342" s="195"/>
      <c r="DP342" s="195"/>
      <c r="DQ342" s="195"/>
      <c r="DR342" s="195"/>
      <c r="DS342" s="195"/>
      <c r="DT342" s="195"/>
      <c r="DU342" s="195"/>
      <c r="DV342" s="195"/>
      <c r="DW342" s="195"/>
      <c r="DX342" s="195"/>
      <c r="DY342" s="195"/>
      <c r="DZ342" s="195"/>
      <c r="EA342" s="195"/>
      <c r="EB342" s="195"/>
      <c r="EC342" s="195"/>
      <c r="ED342" s="195"/>
      <c r="EE342" s="195"/>
      <c r="EF342" s="195"/>
      <c r="EG342" s="195"/>
      <c r="EH342" s="195"/>
      <c r="EI342" s="195"/>
      <c r="EJ342" s="195"/>
      <c r="EK342" s="195"/>
      <c r="EL342" s="195"/>
      <c r="EM342" s="195"/>
      <c r="EN342" s="195"/>
      <c r="EO342" s="195"/>
      <c r="EP342" s="195"/>
      <c r="EQ342" s="195"/>
      <c r="ER342" s="195"/>
      <c r="ES342" s="195"/>
      <c r="ET342" s="195"/>
      <c r="EU342" s="195"/>
      <c r="EV342" s="195"/>
      <c r="EW342" s="195"/>
      <c r="EX342" s="195"/>
      <c r="EY342" s="195"/>
      <c r="EZ342" s="195"/>
      <c r="FA342" s="195"/>
      <c r="FB342" s="195"/>
      <c r="FC342" s="195"/>
      <c r="FD342" s="195"/>
      <c r="FE342" s="195"/>
      <c r="FF342" s="195"/>
      <c r="FG342" s="195"/>
      <c r="FH342" s="195"/>
      <c r="FI342" s="195"/>
      <c r="FJ342" s="195"/>
      <c r="FK342" s="195"/>
      <c r="FL342" s="195"/>
      <c r="FM342" s="195"/>
      <c r="FN342" s="195"/>
      <c r="FO342" s="195"/>
      <c r="FP342" s="195"/>
      <c r="FQ342" s="195"/>
      <c r="FR342" s="195"/>
      <c r="FS342" s="195"/>
      <c r="FT342" s="195"/>
      <c r="FU342" s="195"/>
      <c r="FV342" s="195"/>
      <c r="FW342" s="195"/>
      <c r="FX342" s="195"/>
      <c r="FY342" s="195"/>
    </row>
    <row r="343" spans="1:16" ht="60.75">
      <c r="A343" s="66"/>
      <c r="B343" s="116">
        <v>85212</v>
      </c>
      <c r="C343" s="116"/>
      <c r="D343" s="30" t="s">
        <v>124</v>
      </c>
      <c r="E343" s="79">
        <f>SUM(E344:E357)</f>
        <v>1801500</v>
      </c>
      <c r="F343" s="79">
        <f>SUM(F344:F357)</f>
        <v>1783181.1699999997</v>
      </c>
      <c r="G343" s="263">
        <f t="shared" si="44"/>
        <v>0.9898313461004716</v>
      </c>
      <c r="H343" s="79"/>
      <c r="I343" s="79"/>
      <c r="J343" s="81"/>
      <c r="K343" s="80">
        <f>SUM(K344:K357)</f>
        <v>1801500</v>
      </c>
      <c r="L343" s="79">
        <f>SUM(L344:L357)</f>
        <v>1783181.1699999997</v>
      </c>
      <c r="M343" s="323">
        <f>L343/K343</f>
        <v>0.9898313461004716</v>
      </c>
      <c r="N343" s="265"/>
      <c r="O343" s="67"/>
      <c r="P343" s="69"/>
    </row>
    <row r="344" spans="1:16" ht="20.25">
      <c r="A344" s="66"/>
      <c r="B344" s="45"/>
      <c r="C344" s="114">
        <v>3110</v>
      </c>
      <c r="D344" s="87" t="s">
        <v>67</v>
      </c>
      <c r="E344" s="51">
        <v>1725130</v>
      </c>
      <c r="F344" s="324">
        <v>1714072.69</v>
      </c>
      <c r="G344" s="276">
        <f aca="true" t="shared" si="46" ref="G344:G357">F344/E344</f>
        <v>0.9935904482560735</v>
      </c>
      <c r="H344" s="109"/>
      <c r="I344" s="67"/>
      <c r="J344" s="345"/>
      <c r="K344" s="51">
        <v>1725130</v>
      </c>
      <c r="L344" s="324">
        <v>1714072.69</v>
      </c>
      <c r="M344" s="332">
        <f aca="true" t="shared" si="47" ref="M344:M357">L344/K344</f>
        <v>0.9935904482560735</v>
      </c>
      <c r="N344" s="292"/>
      <c r="O344" s="293"/>
      <c r="P344" s="310"/>
    </row>
    <row r="345" spans="1:16" ht="20.25">
      <c r="A345" s="66"/>
      <c r="B345" s="45"/>
      <c r="C345" s="114">
        <v>4010</v>
      </c>
      <c r="D345" s="87" t="s">
        <v>48</v>
      </c>
      <c r="E345" s="51">
        <v>28600</v>
      </c>
      <c r="F345" s="324">
        <v>26642.15</v>
      </c>
      <c r="G345" s="276">
        <f t="shared" si="46"/>
        <v>0.9315437062937063</v>
      </c>
      <c r="H345" s="109"/>
      <c r="I345" s="67"/>
      <c r="J345" s="345"/>
      <c r="K345" s="51">
        <v>28600</v>
      </c>
      <c r="L345" s="324">
        <v>26642.15</v>
      </c>
      <c r="M345" s="332">
        <f t="shared" si="47"/>
        <v>0.9315437062937063</v>
      </c>
      <c r="N345" s="292"/>
      <c r="O345" s="293"/>
      <c r="P345" s="310"/>
    </row>
    <row r="346" spans="1:16" ht="20.25">
      <c r="A346" s="66"/>
      <c r="B346" s="45"/>
      <c r="C346" s="114">
        <v>4040</v>
      </c>
      <c r="D346" s="87" t="s">
        <v>49</v>
      </c>
      <c r="E346" s="51">
        <v>2140</v>
      </c>
      <c r="F346" s="324">
        <v>2135.62</v>
      </c>
      <c r="G346" s="276">
        <f t="shared" si="46"/>
        <v>0.9979532710280373</v>
      </c>
      <c r="H346" s="109"/>
      <c r="I346" s="67"/>
      <c r="J346" s="345"/>
      <c r="K346" s="51">
        <v>2140</v>
      </c>
      <c r="L346" s="324">
        <v>2135.62</v>
      </c>
      <c r="M346" s="332">
        <f t="shared" si="47"/>
        <v>0.9979532710280373</v>
      </c>
      <c r="N346" s="292"/>
      <c r="O346" s="293"/>
      <c r="P346" s="310"/>
    </row>
    <row r="347" spans="1:16" ht="20.25">
      <c r="A347" s="66"/>
      <c r="B347" s="45"/>
      <c r="C347" s="114">
        <v>4110</v>
      </c>
      <c r="D347" s="87" t="s">
        <v>50</v>
      </c>
      <c r="E347" s="51">
        <v>23850</v>
      </c>
      <c r="F347" s="324">
        <v>20968.15</v>
      </c>
      <c r="G347" s="276">
        <f t="shared" si="46"/>
        <v>0.879167714884696</v>
      </c>
      <c r="H347" s="109"/>
      <c r="I347" s="67"/>
      <c r="J347" s="345"/>
      <c r="K347" s="51">
        <v>23850</v>
      </c>
      <c r="L347" s="324">
        <v>20968.15</v>
      </c>
      <c r="M347" s="332">
        <f t="shared" si="47"/>
        <v>0.879167714884696</v>
      </c>
      <c r="N347" s="292"/>
      <c r="O347" s="293"/>
      <c r="P347" s="310"/>
    </row>
    <row r="348" spans="1:16" ht="20.25">
      <c r="A348" s="66"/>
      <c r="B348" s="45"/>
      <c r="C348" s="114">
        <v>4120</v>
      </c>
      <c r="D348" s="87" t="s">
        <v>51</v>
      </c>
      <c r="E348" s="51">
        <v>900</v>
      </c>
      <c r="F348" s="324">
        <v>782.66</v>
      </c>
      <c r="G348" s="276">
        <f t="shared" si="46"/>
        <v>0.8696222222222222</v>
      </c>
      <c r="H348" s="109"/>
      <c r="I348" s="67"/>
      <c r="J348" s="345"/>
      <c r="K348" s="51">
        <v>900</v>
      </c>
      <c r="L348" s="324">
        <v>782.66</v>
      </c>
      <c r="M348" s="332">
        <f t="shared" si="47"/>
        <v>0.8696222222222222</v>
      </c>
      <c r="N348" s="292"/>
      <c r="O348" s="293"/>
      <c r="P348" s="310"/>
    </row>
    <row r="349" spans="1:16" ht="20.25">
      <c r="A349" s="66"/>
      <c r="B349" s="45"/>
      <c r="C349" s="114">
        <v>4210</v>
      </c>
      <c r="D349" s="87" t="s">
        <v>43</v>
      </c>
      <c r="E349" s="51">
        <v>3360</v>
      </c>
      <c r="F349" s="324">
        <v>3315.66</v>
      </c>
      <c r="G349" s="276">
        <f t="shared" si="46"/>
        <v>0.9868035714285713</v>
      </c>
      <c r="H349" s="109"/>
      <c r="I349" s="67"/>
      <c r="J349" s="345"/>
      <c r="K349" s="51">
        <v>3360</v>
      </c>
      <c r="L349" s="324">
        <v>3315.66</v>
      </c>
      <c r="M349" s="332">
        <f t="shared" si="47"/>
        <v>0.9868035714285713</v>
      </c>
      <c r="N349" s="292"/>
      <c r="O349" s="293"/>
      <c r="P349" s="310"/>
    </row>
    <row r="350" spans="1:16" ht="20.25">
      <c r="A350" s="66"/>
      <c r="B350" s="45"/>
      <c r="C350" s="114">
        <v>4260</v>
      </c>
      <c r="D350" s="87" t="s">
        <v>53</v>
      </c>
      <c r="E350" s="51">
        <v>3500</v>
      </c>
      <c r="F350" s="324">
        <v>3387.82</v>
      </c>
      <c r="G350" s="276">
        <f t="shared" si="46"/>
        <v>0.9679485714285715</v>
      </c>
      <c r="H350" s="109"/>
      <c r="I350" s="67"/>
      <c r="J350" s="345"/>
      <c r="K350" s="51">
        <v>3500</v>
      </c>
      <c r="L350" s="324">
        <v>3387.82</v>
      </c>
      <c r="M350" s="332">
        <f t="shared" si="47"/>
        <v>0.9679485714285715</v>
      </c>
      <c r="N350" s="292"/>
      <c r="O350" s="293"/>
      <c r="P350" s="310"/>
    </row>
    <row r="351" spans="1:16" ht="20.25">
      <c r="A351" s="66"/>
      <c r="B351" s="45"/>
      <c r="C351" s="114">
        <v>4300</v>
      </c>
      <c r="D351" s="87" t="s">
        <v>45</v>
      </c>
      <c r="E351" s="51">
        <v>6100</v>
      </c>
      <c r="F351" s="324">
        <v>4811.67</v>
      </c>
      <c r="G351" s="276">
        <f t="shared" si="46"/>
        <v>0.7887983606557377</v>
      </c>
      <c r="H351" s="109"/>
      <c r="I351" s="67"/>
      <c r="J351" s="345"/>
      <c r="K351" s="51">
        <v>6100</v>
      </c>
      <c r="L351" s="324">
        <v>4811.67</v>
      </c>
      <c r="M351" s="332">
        <f t="shared" si="47"/>
        <v>0.7887983606557377</v>
      </c>
      <c r="N351" s="292"/>
      <c r="O351" s="293"/>
      <c r="P351" s="310"/>
    </row>
    <row r="352" spans="1:16" ht="40.5">
      <c r="A352" s="66"/>
      <c r="B352" s="45"/>
      <c r="C352" s="114">
        <v>4370</v>
      </c>
      <c r="D352" s="58" t="s">
        <v>191</v>
      </c>
      <c r="E352" s="51">
        <v>1490</v>
      </c>
      <c r="F352" s="324">
        <v>1320.1</v>
      </c>
      <c r="G352" s="276">
        <f t="shared" si="46"/>
        <v>0.8859731543624161</v>
      </c>
      <c r="H352" s="109"/>
      <c r="I352" s="67"/>
      <c r="J352" s="345"/>
      <c r="K352" s="51">
        <v>1490</v>
      </c>
      <c r="L352" s="324">
        <v>1320.1</v>
      </c>
      <c r="M352" s="332">
        <f t="shared" si="47"/>
        <v>0.8859731543624161</v>
      </c>
      <c r="N352" s="292"/>
      <c r="O352" s="293"/>
      <c r="P352" s="310"/>
    </row>
    <row r="353" spans="1:16" ht="20.25">
      <c r="A353" s="66"/>
      <c r="B353" s="45"/>
      <c r="C353" s="114">
        <v>4410</v>
      </c>
      <c r="D353" s="87" t="s">
        <v>56</v>
      </c>
      <c r="E353" s="51">
        <v>600</v>
      </c>
      <c r="F353" s="324">
        <v>275.46</v>
      </c>
      <c r="G353" s="276">
        <f t="shared" si="46"/>
        <v>0.45909999999999995</v>
      </c>
      <c r="H353" s="109"/>
      <c r="I353" s="67"/>
      <c r="J353" s="345"/>
      <c r="K353" s="51">
        <v>600</v>
      </c>
      <c r="L353" s="324">
        <v>275.46</v>
      </c>
      <c r="M353" s="332">
        <f t="shared" si="47"/>
        <v>0.45909999999999995</v>
      </c>
      <c r="N353" s="292"/>
      <c r="O353" s="293"/>
      <c r="P353" s="310"/>
    </row>
    <row r="354" spans="1:16" ht="20.25">
      <c r="A354" s="66"/>
      <c r="B354" s="45"/>
      <c r="C354" s="114">
        <v>4440</v>
      </c>
      <c r="D354" s="87" t="s">
        <v>129</v>
      </c>
      <c r="E354" s="51">
        <v>1150</v>
      </c>
      <c r="F354" s="324">
        <v>1150</v>
      </c>
      <c r="G354" s="276">
        <f t="shared" si="46"/>
        <v>1</v>
      </c>
      <c r="H354" s="109"/>
      <c r="I354" s="67"/>
      <c r="J354" s="345"/>
      <c r="K354" s="51">
        <v>1150</v>
      </c>
      <c r="L354" s="324">
        <v>1150</v>
      </c>
      <c r="M354" s="332">
        <f t="shared" si="47"/>
        <v>1</v>
      </c>
      <c r="N354" s="292"/>
      <c r="O354" s="293"/>
      <c r="P354" s="310"/>
    </row>
    <row r="355" spans="1:16" ht="40.5">
      <c r="A355" s="66"/>
      <c r="B355" s="45"/>
      <c r="C355" s="114">
        <v>4700</v>
      </c>
      <c r="D355" s="58" t="s">
        <v>190</v>
      </c>
      <c r="E355" s="51">
        <v>1060</v>
      </c>
      <c r="F355" s="324">
        <v>1058.34</v>
      </c>
      <c r="G355" s="276">
        <f t="shared" si="46"/>
        <v>0.9984339622641508</v>
      </c>
      <c r="H355" s="109"/>
      <c r="I355" s="67"/>
      <c r="J355" s="345"/>
      <c r="K355" s="51">
        <v>1060</v>
      </c>
      <c r="L355" s="324">
        <v>1058.34</v>
      </c>
      <c r="M355" s="332">
        <f t="shared" si="47"/>
        <v>0.9984339622641508</v>
      </c>
      <c r="N355" s="292"/>
      <c r="O355" s="293"/>
      <c r="P355" s="310"/>
    </row>
    <row r="356" spans="1:16" ht="40.5">
      <c r="A356" s="66"/>
      <c r="B356" s="45"/>
      <c r="C356" s="114">
        <v>4740</v>
      </c>
      <c r="D356" s="58" t="s">
        <v>182</v>
      </c>
      <c r="E356" s="51">
        <v>700</v>
      </c>
      <c r="F356" s="324">
        <v>636.94</v>
      </c>
      <c r="G356" s="276">
        <f t="shared" si="46"/>
        <v>0.9099142857142858</v>
      </c>
      <c r="H356" s="109"/>
      <c r="I356" s="67"/>
      <c r="J356" s="345"/>
      <c r="K356" s="51">
        <v>700</v>
      </c>
      <c r="L356" s="324">
        <v>636.94</v>
      </c>
      <c r="M356" s="332">
        <f t="shared" si="47"/>
        <v>0.9099142857142858</v>
      </c>
      <c r="N356" s="292"/>
      <c r="O356" s="293"/>
      <c r="P356" s="310"/>
    </row>
    <row r="357" spans="1:16" ht="40.5">
      <c r="A357" s="66"/>
      <c r="B357" s="45"/>
      <c r="C357" s="384">
        <v>4750</v>
      </c>
      <c r="D357" s="58" t="s">
        <v>183</v>
      </c>
      <c r="E357" s="51">
        <v>2920</v>
      </c>
      <c r="F357" s="324">
        <v>2623.91</v>
      </c>
      <c r="G357" s="276">
        <f t="shared" si="46"/>
        <v>0.8985993150684931</v>
      </c>
      <c r="H357" s="109"/>
      <c r="I357" s="67"/>
      <c r="J357" s="93"/>
      <c r="K357" s="51">
        <v>2920</v>
      </c>
      <c r="L357" s="324">
        <v>2623.91</v>
      </c>
      <c r="M357" s="332">
        <f t="shared" si="47"/>
        <v>0.8985993150684931</v>
      </c>
      <c r="N357" s="292"/>
      <c r="O357" s="293"/>
      <c r="P357" s="310"/>
    </row>
    <row r="358" spans="1:16" ht="75.75" customHeight="1">
      <c r="A358" s="66"/>
      <c r="B358" s="116">
        <v>85213</v>
      </c>
      <c r="C358" s="116"/>
      <c r="D358" s="117" t="s">
        <v>137</v>
      </c>
      <c r="E358" s="79">
        <f>SUM(E359:E359)</f>
        <v>14000</v>
      </c>
      <c r="F358" s="79">
        <f>SUM(F359:F359)</f>
        <v>13577.05</v>
      </c>
      <c r="G358" s="287">
        <f>F358/E358</f>
        <v>0.9697892857142857</v>
      </c>
      <c r="H358" s="79"/>
      <c r="I358" s="79"/>
      <c r="J358" s="288"/>
      <c r="K358" s="80">
        <f>SUM(K359:K359)</f>
        <v>14000</v>
      </c>
      <c r="L358" s="79">
        <f>SUM(L359:L359)</f>
        <v>13577.05</v>
      </c>
      <c r="M358" s="290">
        <f>L358/K358</f>
        <v>0.9697892857142857</v>
      </c>
      <c r="N358" s="289"/>
      <c r="O358" s="79"/>
      <c r="P358" s="125"/>
    </row>
    <row r="359" spans="1:16" ht="21.75" customHeight="1">
      <c r="A359" s="45"/>
      <c r="B359" s="45"/>
      <c r="C359" s="114">
        <v>4130</v>
      </c>
      <c r="D359" s="87" t="s">
        <v>97</v>
      </c>
      <c r="E359" s="51">
        <v>14000</v>
      </c>
      <c r="F359" s="324">
        <v>13577.05</v>
      </c>
      <c r="G359" s="276">
        <f aca="true" t="shared" si="48" ref="G359:G382">F359/E359</f>
        <v>0.9697892857142857</v>
      </c>
      <c r="H359" s="324"/>
      <c r="I359" s="293"/>
      <c r="J359" s="105"/>
      <c r="K359" s="292">
        <v>14000</v>
      </c>
      <c r="L359" s="293">
        <v>13577.05</v>
      </c>
      <c r="M359" s="332">
        <f>L359/K359</f>
        <v>0.9697892857142857</v>
      </c>
      <c r="N359" s="292"/>
      <c r="O359" s="293"/>
      <c r="P359" s="310"/>
    </row>
    <row r="360" spans="1:16" ht="37.5" customHeight="1">
      <c r="A360" s="104"/>
      <c r="B360" s="116">
        <v>85214</v>
      </c>
      <c r="C360" s="135"/>
      <c r="D360" s="117" t="s">
        <v>126</v>
      </c>
      <c r="E360" s="79">
        <f>SUM(E361:E362)</f>
        <v>372795</v>
      </c>
      <c r="F360" s="79">
        <f>SUM(F361:F362)</f>
        <v>372726.52</v>
      </c>
      <c r="G360" s="94">
        <f>F360/E360</f>
        <v>0.9998163065491759</v>
      </c>
      <c r="H360" s="79">
        <f>SUM(H361:H362)</f>
        <v>283046</v>
      </c>
      <c r="I360" s="79">
        <f>SUM(I361:I362)</f>
        <v>282977.52</v>
      </c>
      <c r="J360" s="96">
        <f aca="true" t="shared" si="49" ref="J360:J366">I360/H360</f>
        <v>0.9997580605272642</v>
      </c>
      <c r="K360" s="97">
        <f>SUM(K361:K361)</f>
        <v>89749</v>
      </c>
      <c r="L360" s="80">
        <f>SUM(L361:L361)</f>
        <v>89749</v>
      </c>
      <c r="M360" s="96">
        <f>L360/K360</f>
        <v>1</v>
      </c>
      <c r="N360" s="100"/>
      <c r="O360" s="98"/>
      <c r="P360" s="101"/>
    </row>
    <row r="361" spans="1:16" ht="20.25">
      <c r="A361" s="66"/>
      <c r="B361" s="45"/>
      <c r="C361" s="114">
        <v>3110</v>
      </c>
      <c r="D361" s="87" t="s">
        <v>67</v>
      </c>
      <c r="E361" s="51">
        <v>367795</v>
      </c>
      <c r="F361" s="324">
        <v>367795.02</v>
      </c>
      <c r="G361" s="276">
        <f>F361/E361</f>
        <v>1.0000000543781182</v>
      </c>
      <c r="H361" s="324">
        <v>278046</v>
      </c>
      <c r="I361" s="293">
        <v>278046.02</v>
      </c>
      <c r="J361" s="105">
        <f t="shared" si="49"/>
        <v>1.000000071930544</v>
      </c>
      <c r="K361" s="292">
        <v>89749</v>
      </c>
      <c r="L361" s="293">
        <v>89749</v>
      </c>
      <c r="M361" s="332">
        <f>L361/K361</f>
        <v>1</v>
      </c>
      <c r="N361" s="292"/>
      <c r="O361" s="293"/>
      <c r="P361" s="310"/>
    </row>
    <row r="362" spans="1:16" ht="20.25">
      <c r="A362" s="66"/>
      <c r="B362" s="45"/>
      <c r="C362" s="114">
        <v>4300</v>
      </c>
      <c r="D362" s="87" t="s">
        <v>45</v>
      </c>
      <c r="E362" s="51">
        <v>5000</v>
      </c>
      <c r="F362" s="324">
        <v>4931.5</v>
      </c>
      <c r="G362" s="276">
        <f>F362/E362</f>
        <v>0.9863</v>
      </c>
      <c r="H362" s="324">
        <v>5000</v>
      </c>
      <c r="I362" s="293">
        <v>4931.5</v>
      </c>
      <c r="J362" s="105">
        <f>I362/H362</f>
        <v>0.9863</v>
      </c>
      <c r="K362" s="292"/>
      <c r="L362" s="293"/>
      <c r="M362" s="278"/>
      <c r="N362" s="292"/>
      <c r="O362" s="293"/>
      <c r="P362" s="310"/>
    </row>
    <row r="363" spans="1:16" ht="20.25">
      <c r="A363" s="66"/>
      <c r="B363" s="78">
        <v>85215</v>
      </c>
      <c r="C363" s="116"/>
      <c r="D363" s="78" t="s">
        <v>7</v>
      </c>
      <c r="E363" s="79">
        <f>SUM(E364:E364)</f>
        <v>117400</v>
      </c>
      <c r="F363" s="79">
        <f>SUM(F364:F364)</f>
        <v>117347.81</v>
      </c>
      <c r="G363" s="287">
        <f t="shared" si="48"/>
        <v>0.9995554514480409</v>
      </c>
      <c r="H363" s="79">
        <f>SUM(H364:H364)</f>
        <v>117400</v>
      </c>
      <c r="I363" s="79">
        <f>SUM(I364:I364)</f>
        <v>117347.81</v>
      </c>
      <c r="J363" s="81">
        <f t="shared" si="49"/>
        <v>0.9995554514480409</v>
      </c>
      <c r="K363" s="305"/>
      <c r="L363" s="306"/>
      <c r="M363" s="307"/>
      <c r="N363" s="305"/>
      <c r="O363" s="306"/>
      <c r="P363" s="308"/>
    </row>
    <row r="364" spans="1:16" ht="20.25">
      <c r="A364" s="66"/>
      <c r="B364" s="45"/>
      <c r="C364" s="114">
        <v>3110</v>
      </c>
      <c r="D364" s="87" t="s">
        <v>67</v>
      </c>
      <c r="E364" s="51">
        <v>117400</v>
      </c>
      <c r="F364" s="324">
        <v>117347.81</v>
      </c>
      <c r="G364" s="276">
        <f t="shared" si="48"/>
        <v>0.9995554514480409</v>
      </c>
      <c r="H364" s="51">
        <v>117400</v>
      </c>
      <c r="I364" s="324">
        <v>117347.81</v>
      </c>
      <c r="J364" s="105">
        <f t="shared" si="49"/>
        <v>0.9995554514480409</v>
      </c>
      <c r="K364" s="292"/>
      <c r="L364" s="293"/>
      <c r="M364" s="316"/>
      <c r="N364" s="292"/>
      <c r="O364" s="293"/>
      <c r="P364" s="310"/>
    </row>
    <row r="365" spans="1:16" ht="20.25">
      <c r="A365" s="66"/>
      <c r="B365" s="78">
        <v>85219</v>
      </c>
      <c r="C365" s="116"/>
      <c r="D365" s="78" t="s">
        <v>30</v>
      </c>
      <c r="E365" s="79">
        <f>SUM(E366:E383)-E368</f>
        <v>253507</v>
      </c>
      <c r="F365" s="79">
        <f>SUM(F366:F383)-F368</f>
        <v>250989.67</v>
      </c>
      <c r="G365" s="287">
        <f t="shared" si="48"/>
        <v>0.9900699783437933</v>
      </c>
      <c r="H365" s="79">
        <f>SUM(H366:H383)-H368</f>
        <v>253507</v>
      </c>
      <c r="I365" s="79">
        <f>SUM(I366:I383)-I368</f>
        <v>250989.67</v>
      </c>
      <c r="J365" s="81">
        <f t="shared" si="49"/>
        <v>0.9900699783437933</v>
      </c>
      <c r="K365" s="289"/>
      <c r="L365" s="79"/>
      <c r="M365" s="290"/>
      <c r="N365" s="289"/>
      <c r="O365" s="79"/>
      <c r="P365" s="125"/>
    </row>
    <row r="366" spans="1:16" ht="17.25" customHeight="1">
      <c r="A366" s="45"/>
      <c r="B366" s="84"/>
      <c r="C366" s="114">
        <v>3020</v>
      </c>
      <c r="D366" s="58" t="s">
        <v>128</v>
      </c>
      <c r="E366" s="51">
        <v>1503</v>
      </c>
      <c r="F366" s="324">
        <v>1503</v>
      </c>
      <c r="G366" s="276">
        <f t="shared" si="48"/>
        <v>1</v>
      </c>
      <c r="H366" s="51">
        <v>1503</v>
      </c>
      <c r="I366" s="324">
        <v>1503</v>
      </c>
      <c r="J366" s="105">
        <f t="shared" si="49"/>
        <v>1</v>
      </c>
      <c r="K366" s="292"/>
      <c r="L366" s="293"/>
      <c r="M366" s="316"/>
      <c r="N366" s="292"/>
      <c r="O366" s="293"/>
      <c r="P366" s="310"/>
    </row>
    <row r="367" spans="1:16" ht="20.25">
      <c r="A367" s="211"/>
      <c r="B367" s="211"/>
      <c r="C367" s="354">
        <v>4010</v>
      </c>
      <c r="D367" s="212" t="s">
        <v>48</v>
      </c>
      <c r="E367" s="213">
        <v>162500</v>
      </c>
      <c r="F367" s="361">
        <v>162249.78</v>
      </c>
      <c r="G367" s="355">
        <f t="shared" si="48"/>
        <v>0.9984601846153847</v>
      </c>
      <c r="H367" s="213">
        <v>162500</v>
      </c>
      <c r="I367" s="361">
        <v>162249.78</v>
      </c>
      <c r="J367" s="356">
        <f aca="true" t="shared" si="50" ref="J367:J382">I367/H367</f>
        <v>0.9984601846153847</v>
      </c>
      <c r="K367" s="357"/>
      <c r="L367" s="358"/>
      <c r="M367" s="364"/>
      <c r="N367" s="357"/>
      <c r="O367" s="358"/>
      <c r="P367" s="360"/>
    </row>
    <row r="368" spans="1:16" ht="21" thickBot="1">
      <c r="A368" s="253">
        <v>1</v>
      </c>
      <c r="B368" s="253">
        <v>2</v>
      </c>
      <c r="C368" s="253">
        <v>3</v>
      </c>
      <c r="D368" s="253">
        <v>4</v>
      </c>
      <c r="E368" s="254">
        <v>5</v>
      </c>
      <c r="F368" s="254">
        <v>6</v>
      </c>
      <c r="G368" s="255">
        <v>7</v>
      </c>
      <c r="H368" s="256">
        <v>8</v>
      </c>
      <c r="I368" s="254">
        <v>9</v>
      </c>
      <c r="J368" s="257">
        <v>10</v>
      </c>
      <c r="K368" s="258">
        <v>11</v>
      </c>
      <c r="L368" s="259">
        <v>12</v>
      </c>
      <c r="M368" s="255">
        <v>13</v>
      </c>
      <c r="N368" s="260">
        <v>14</v>
      </c>
      <c r="O368" s="261">
        <v>15</v>
      </c>
      <c r="P368" s="261">
        <v>16</v>
      </c>
    </row>
    <row r="369" spans="1:16" ht="21" thickTop="1">
      <c r="A369" s="45"/>
      <c r="B369" s="45"/>
      <c r="C369" s="114">
        <v>4040</v>
      </c>
      <c r="D369" s="87" t="s">
        <v>49</v>
      </c>
      <c r="E369" s="51">
        <v>12900</v>
      </c>
      <c r="F369" s="324">
        <v>12808.45</v>
      </c>
      <c r="G369" s="276">
        <f t="shared" si="48"/>
        <v>0.9929031007751938</v>
      </c>
      <c r="H369" s="51">
        <v>12900</v>
      </c>
      <c r="I369" s="324">
        <v>12808.45</v>
      </c>
      <c r="J369" s="105">
        <f t="shared" si="50"/>
        <v>0.9929031007751938</v>
      </c>
      <c r="K369" s="292"/>
      <c r="L369" s="293"/>
      <c r="M369" s="332"/>
      <c r="N369" s="292"/>
      <c r="O369" s="293"/>
      <c r="P369" s="310"/>
    </row>
    <row r="370" spans="1:16" ht="20.25">
      <c r="A370" s="45"/>
      <c r="B370" s="45"/>
      <c r="C370" s="114">
        <v>4110</v>
      </c>
      <c r="D370" s="87" t="s">
        <v>50</v>
      </c>
      <c r="E370" s="51">
        <v>33354</v>
      </c>
      <c r="F370" s="324">
        <v>33312.34</v>
      </c>
      <c r="G370" s="276">
        <f t="shared" si="48"/>
        <v>0.9987509743958745</v>
      </c>
      <c r="H370" s="51">
        <v>33354</v>
      </c>
      <c r="I370" s="324">
        <v>33312.34</v>
      </c>
      <c r="J370" s="105">
        <f t="shared" si="50"/>
        <v>0.9987509743958745</v>
      </c>
      <c r="K370" s="292"/>
      <c r="L370" s="293"/>
      <c r="M370" s="332"/>
      <c r="N370" s="292"/>
      <c r="O370" s="293"/>
      <c r="P370" s="310"/>
    </row>
    <row r="371" spans="1:16" ht="20.25">
      <c r="A371" s="45"/>
      <c r="B371" s="45"/>
      <c r="C371" s="114">
        <v>4120</v>
      </c>
      <c r="D371" s="87" t="s">
        <v>51</v>
      </c>
      <c r="E371" s="51">
        <v>4430</v>
      </c>
      <c r="F371" s="324">
        <v>4422.8</v>
      </c>
      <c r="G371" s="276">
        <f t="shared" si="48"/>
        <v>0.9983747178329572</v>
      </c>
      <c r="H371" s="51">
        <v>4430</v>
      </c>
      <c r="I371" s="324">
        <v>4422.8</v>
      </c>
      <c r="J371" s="105">
        <f t="shared" si="50"/>
        <v>0.9983747178329572</v>
      </c>
      <c r="K371" s="292"/>
      <c r="L371" s="293"/>
      <c r="M371" s="332"/>
      <c r="N371" s="292"/>
      <c r="O371" s="293"/>
      <c r="P371" s="310"/>
    </row>
    <row r="372" spans="1:16" ht="20.25">
      <c r="A372" s="45"/>
      <c r="B372" s="45"/>
      <c r="C372" s="114">
        <v>4170</v>
      </c>
      <c r="D372" s="87" t="s">
        <v>98</v>
      </c>
      <c r="E372" s="51">
        <v>2500</v>
      </c>
      <c r="F372" s="324">
        <v>2500</v>
      </c>
      <c r="G372" s="276">
        <f t="shared" si="48"/>
        <v>1</v>
      </c>
      <c r="H372" s="51">
        <v>2500</v>
      </c>
      <c r="I372" s="324">
        <v>2500</v>
      </c>
      <c r="J372" s="105"/>
      <c r="K372" s="292"/>
      <c r="L372" s="293"/>
      <c r="M372" s="332"/>
      <c r="N372" s="292"/>
      <c r="O372" s="293"/>
      <c r="P372" s="310"/>
    </row>
    <row r="373" spans="1:16" ht="20.25">
      <c r="A373" s="45"/>
      <c r="B373" s="45"/>
      <c r="C373" s="114">
        <v>4210</v>
      </c>
      <c r="D373" s="87" t="s">
        <v>43</v>
      </c>
      <c r="E373" s="51">
        <v>4700</v>
      </c>
      <c r="F373" s="324">
        <v>4601.06</v>
      </c>
      <c r="G373" s="276">
        <f t="shared" si="48"/>
        <v>0.9789489361702128</v>
      </c>
      <c r="H373" s="51">
        <v>4700</v>
      </c>
      <c r="I373" s="324">
        <v>4601.06</v>
      </c>
      <c r="J373" s="105">
        <f t="shared" si="50"/>
        <v>0.9789489361702128</v>
      </c>
      <c r="K373" s="292"/>
      <c r="L373" s="293"/>
      <c r="M373" s="332"/>
      <c r="N373" s="292"/>
      <c r="O373" s="293"/>
      <c r="P373" s="310"/>
    </row>
    <row r="374" spans="1:16" ht="20.25">
      <c r="A374" s="45"/>
      <c r="B374" s="45"/>
      <c r="C374" s="114">
        <v>4260</v>
      </c>
      <c r="D374" s="87" t="s">
        <v>53</v>
      </c>
      <c r="E374" s="51">
        <v>4800</v>
      </c>
      <c r="F374" s="324">
        <v>4562.34</v>
      </c>
      <c r="G374" s="276">
        <f t="shared" si="48"/>
        <v>0.9504875</v>
      </c>
      <c r="H374" s="51">
        <v>4800</v>
      </c>
      <c r="I374" s="324">
        <v>4562.34</v>
      </c>
      <c r="J374" s="105">
        <f t="shared" si="50"/>
        <v>0.9504875</v>
      </c>
      <c r="K374" s="292"/>
      <c r="L374" s="293"/>
      <c r="M374" s="332"/>
      <c r="N374" s="292"/>
      <c r="O374" s="293"/>
      <c r="P374" s="310"/>
    </row>
    <row r="375" spans="1:16" ht="20.25">
      <c r="A375" s="45"/>
      <c r="B375" s="45"/>
      <c r="C375" s="114">
        <v>4280</v>
      </c>
      <c r="D375" s="87" t="s">
        <v>102</v>
      </c>
      <c r="E375" s="51">
        <v>90</v>
      </c>
      <c r="F375" s="324">
        <v>90</v>
      </c>
      <c r="G375" s="276">
        <f t="shared" si="48"/>
        <v>1</v>
      </c>
      <c r="H375" s="51">
        <v>90</v>
      </c>
      <c r="I375" s="324">
        <v>90</v>
      </c>
      <c r="J375" s="105">
        <f t="shared" si="50"/>
        <v>1</v>
      </c>
      <c r="K375" s="292"/>
      <c r="L375" s="293"/>
      <c r="M375" s="316"/>
      <c r="N375" s="292"/>
      <c r="O375" s="293"/>
      <c r="P375" s="310"/>
    </row>
    <row r="376" spans="1:16" ht="20.25">
      <c r="A376" s="45"/>
      <c r="B376" s="45"/>
      <c r="C376" s="114">
        <v>4300</v>
      </c>
      <c r="D376" s="87" t="s">
        <v>45</v>
      </c>
      <c r="E376" s="51">
        <v>9810</v>
      </c>
      <c r="F376" s="324">
        <v>9677.33</v>
      </c>
      <c r="G376" s="276">
        <f t="shared" si="48"/>
        <v>0.9864760448521916</v>
      </c>
      <c r="H376" s="51">
        <v>9810</v>
      </c>
      <c r="I376" s="324">
        <v>9677.33</v>
      </c>
      <c r="J376" s="105">
        <f t="shared" si="50"/>
        <v>0.9864760448521916</v>
      </c>
      <c r="K376" s="292"/>
      <c r="L376" s="293"/>
      <c r="M376" s="332"/>
      <c r="N376" s="292"/>
      <c r="O376" s="293"/>
      <c r="P376" s="310"/>
    </row>
    <row r="377" spans="1:16" ht="20.25">
      <c r="A377" s="45"/>
      <c r="B377" s="45"/>
      <c r="C377" s="114">
        <v>4350</v>
      </c>
      <c r="D377" s="87" t="s">
        <v>104</v>
      </c>
      <c r="E377" s="51">
        <v>2000</v>
      </c>
      <c r="F377" s="324">
        <v>1624.93</v>
      </c>
      <c r="G377" s="276">
        <f t="shared" si="48"/>
        <v>0.812465</v>
      </c>
      <c r="H377" s="51">
        <v>2000</v>
      </c>
      <c r="I377" s="324">
        <v>1624.93</v>
      </c>
      <c r="J377" s="105">
        <f t="shared" si="50"/>
        <v>0.812465</v>
      </c>
      <c r="K377" s="292"/>
      <c r="L377" s="293"/>
      <c r="M377" s="278"/>
      <c r="N377" s="292"/>
      <c r="O377" s="293"/>
      <c r="P377" s="310"/>
    </row>
    <row r="378" spans="1:16" ht="40.5">
      <c r="A378" s="45"/>
      <c r="B378" s="45"/>
      <c r="C378" s="114">
        <v>4370</v>
      </c>
      <c r="D378" s="58" t="s">
        <v>191</v>
      </c>
      <c r="E378" s="51">
        <v>2970</v>
      </c>
      <c r="F378" s="324">
        <v>2728.89</v>
      </c>
      <c r="G378" s="276">
        <f t="shared" si="48"/>
        <v>0.9188181818181818</v>
      </c>
      <c r="H378" s="51">
        <v>2970</v>
      </c>
      <c r="I378" s="324">
        <v>2728.89</v>
      </c>
      <c r="J378" s="105">
        <f t="shared" si="50"/>
        <v>0.9188181818181818</v>
      </c>
      <c r="K378" s="292"/>
      <c r="L378" s="293"/>
      <c r="M378" s="278"/>
      <c r="N378" s="292"/>
      <c r="O378" s="293"/>
      <c r="P378" s="310"/>
    </row>
    <row r="379" spans="1:16" ht="20.25">
      <c r="A379" s="45"/>
      <c r="B379" s="45"/>
      <c r="C379" s="114">
        <v>4410</v>
      </c>
      <c r="D379" s="87" t="s">
        <v>56</v>
      </c>
      <c r="E379" s="51">
        <v>1000</v>
      </c>
      <c r="F379" s="324">
        <v>641.48</v>
      </c>
      <c r="G379" s="276">
        <f t="shared" si="48"/>
        <v>0.64148</v>
      </c>
      <c r="H379" s="51">
        <v>1000</v>
      </c>
      <c r="I379" s="324">
        <v>641.48</v>
      </c>
      <c r="J379" s="105">
        <f t="shared" si="50"/>
        <v>0.64148</v>
      </c>
      <c r="K379" s="292"/>
      <c r="L379" s="293"/>
      <c r="M379" s="316"/>
      <c r="N379" s="292"/>
      <c r="O379" s="293"/>
      <c r="P379" s="310"/>
    </row>
    <row r="380" spans="1:16" ht="20.25">
      <c r="A380" s="66"/>
      <c r="B380" s="45"/>
      <c r="C380" s="114">
        <v>4440</v>
      </c>
      <c r="D380" s="87" t="s">
        <v>129</v>
      </c>
      <c r="E380" s="51">
        <v>6240</v>
      </c>
      <c r="F380" s="324">
        <v>6240</v>
      </c>
      <c r="G380" s="276">
        <f t="shared" si="48"/>
        <v>1</v>
      </c>
      <c r="H380" s="51">
        <v>6240</v>
      </c>
      <c r="I380" s="324">
        <v>6240</v>
      </c>
      <c r="J380" s="105">
        <f t="shared" si="50"/>
        <v>1</v>
      </c>
      <c r="K380" s="292"/>
      <c r="L380" s="293"/>
      <c r="M380" s="316"/>
      <c r="N380" s="292"/>
      <c r="O380" s="293"/>
      <c r="P380" s="310"/>
    </row>
    <row r="381" spans="1:16" ht="40.5" customHeight="1">
      <c r="A381" s="66"/>
      <c r="B381" s="45"/>
      <c r="C381" s="114">
        <v>4700</v>
      </c>
      <c r="D381" s="58" t="s">
        <v>190</v>
      </c>
      <c r="E381" s="51">
        <v>1510</v>
      </c>
      <c r="F381" s="324">
        <v>1437.66</v>
      </c>
      <c r="G381" s="276">
        <f t="shared" si="48"/>
        <v>0.9520927152317882</v>
      </c>
      <c r="H381" s="51">
        <v>1510</v>
      </c>
      <c r="I381" s="324">
        <v>1437.66</v>
      </c>
      <c r="J381" s="105">
        <f t="shared" si="50"/>
        <v>0.9520927152317882</v>
      </c>
      <c r="K381" s="292"/>
      <c r="L381" s="293"/>
      <c r="M381" s="316"/>
      <c r="N381" s="292"/>
      <c r="O381" s="293"/>
      <c r="P381" s="310"/>
    </row>
    <row r="382" spans="1:16" ht="40.5">
      <c r="A382" s="66"/>
      <c r="B382" s="45"/>
      <c r="C382" s="114">
        <v>4740</v>
      </c>
      <c r="D382" s="58" t="s">
        <v>182</v>
      </c>
      <c r="E382" s="51">
        <v>900</v>
      </c>
      <c r="F382" s="324">
        <v>641.72</v>
      </c>
      <c r="G382" s="276">
        <f t="shared" si="48"/>
        <v>0.7130222222222222</v>
      </c>
      <c r="H382" s="51">
        <v>900</v>
      </c>
      <c r="I382" s="324">
        <v>641.72</v>
      </c>
      <c r="J382" s="105">
        <f t="shared" si="50"/>
        <v>0.7130222222222222</v>
      </c>
      <c r="K382" s="292"/>
      <c r="L382" s="293"/>
      <c r="M382" s="316"/>
      <c r="N382" s="292"/>
      <c r="O382" s="293"/>
      <c r="P382" s="310"/>
    </row>
    <row r="383" spans="1:16" ht="40.5">
      <c r="A383" s="66"/>
      <c r="B383" s="45"/>
      <c r="C383" s="114">
        <v>4750</v>
      </c>
      <c r="D383" s="58" t="s">
        <v>183</v>
      </c>
      <c r="E383" s="51">
        <v>2300</v>
      </c>
      <c r="F383" s="324">
        <v>1947.89</v>
      </c>
      <c r="G383" s="276">
        <f>F383/E383</f>
        <v>0.846908695652174</v>
      </c>
      <c r="H383" s="51">
        <v>2300</v>
      </c>
      <c r="I383" s="324">
        <v>1947.89</v>
      </c>
      <c r="J383" s="105">
        <f>I383/H383</f>
        <v>0.846908695652174</v>
      </c>
      <c r="K383" s="292"/>
      <c r="L383" s="293"/>
      <c r="M383" s="316"/>
      <c r="N383" s="292"/>
      <c r="O383" s="293"/>
      <c r="P383" s="310"/>
    </row>
    <row r="384" spans="1:16" ht="20.25">
      <c r="A384" s="66"/>
      <c r="B384" s="78">
        <v>85278</v>
      </c>
      <c r="C384" s="116"/>
      <c r="D384" s="78" t="s">
        <v>158</v>
      </c>
      <c r="E384" s="79">
        <f>E385</f>
        <v>1000</v>
      </c>
      <c r="F384" s="95">
        <f>F385</f>
        <v>1000</v>
      </c>
      <c r="G384" s="287">
        <f>F384/E384</f>
        <v>1</v>
      </c>
      <c r="H384" s="95"/>
      <c r="I384" s="95"/>
      <c r="J384" s="288"/>
      <c r="K384" s="289">
        <f>K385</f>
        <v>1000</v>
      </c>
      <c r="L384" s="79">
        <f>L385</f>
        <v>1000</v>
      </c>
      <c r="M384" s="290">
        <f>L384/K384</f>
        <v>1</v>
      </c>
      <c r="N384" s="305"/>
      <c r="O384" s="306"/>
      <c r="P384" s="308"/>
    </row>
    <row r="385" spans="1:16" ht="20.25">
      <c r="A385" s="66"/>
      <c r="B385" s="45"/>
      <c r="C385" s="114">
        <v>3110</v>
      </c>
      <c r="D385" s="87" t="s">
        <v>67</v>
      </c>
      <c r="E385" s="51">
        <v>1000</v>
      </c>
      <c r="F385" s="324">
        <v>1000</v>
      </c>
      <c r="G385" s="276">
        <f>F385/E385</f>
        <v>1</v>
      </c>
      <c r="H385" s="71"/>
      <c r="I385" s="324"/>
      <c r="J385" s="105"/>
      <c r="K385" s="292">
        <v>1000</v>
      </c>
      <c r="L385" s="293">
        <v>1000</v>
      </c>
      <c r="M385" s="303">
        <f>L385/K385</f>
        <v>1</v>
      </c>
      <c r="N385" s="292"/>
      <c r="O385" s="293"/>
      <c r="P385" s="310"/>
    </row>
    <row r="386" spans="1:16" ht="20.25">
      <c r="A386" s="66"/>
      <c r="B386" s="78">
        <v>85295</v>
      </c>
      <c r="C386" s="116"/>
      <c r="D386" s="78" t="s">
        <v>4</v>
      </c>
      <c r="E386" s="79">
        <f>SUM(E387:E387)</f>
        <v>216517</v>
      </c>
      <c r="F386" s="79">
        <f>SUM(F387:F387)</f>
        <v>216516.25</v>
      </c>
      <c r="G386" s="287">
        <f aca="true" t="shared" si="51" ref="G386:G397">F386/E386</f>
        <v>0.9999965360687614</v>
      </c>
      <c r="H386" s="95">
        <f>SUM(H387:H387)</f>
        <v>216517</v>
      </c>
      <c r="I386" s="79">
        <f>SUM(I387:I387)</f>
        <v>216516.25</v>
      </c>
      <c r="J386" s="81">
        <f aca="true" t="shared" si="52" ref="J386:J397">I386/H386</f>
        <v>0.9999965360687614</v>
      </c>
      <c r="K386" s="289"/>
      <c r="L386" s="79"/>
      <c r="M386" s="316"/>
      <c r="N386" s="305"/>
      <c r="O386" s="306"/>
      <c r="P386" s="308"/>
    </row>
    <row r="387" spans="1:16" ht="21" thickBot="1">
      <c r="A387" s="66"/>
      <c r="B387" s="45"/>
      <c r="C387" s="114">
        <v>3110</v>
      </c>
      <c r="D387" s="87" t="s">
        <v>67</v>
      </c>
      <c r="E387" s="51">
        <v>216517</v>
      </c>
      <c r="F387" s="324">
        <v>216516.25</v>
      </c>
      <c r="G387" s="276">
        <f t="shared" si="51"/>
        <v>0.9999965360687614</v>
      </c>
      <c r="H387" s="51">
        <v>216517</v>
      </c>
      <c r="I387" s="324">
        <v>216516.25</v>
      </c>
      <c r="J387" s="105">
        <f t="shared" si="52"/>
        <v>0.9999965360687614</v>
      </c>
      <c r="K387" s="292"/>
      <c r="L387" s="293"/>
      <c r="M387" s="316"/>
      <c r="N387" s="292"/>
      <c r="O387" s="293"/>
      <c r="P387" s="310"/>
    </row>
    <row r="388" spans="1:16" s="195" customFormat="1" ht="30" customHeight="1" thickBot="1">
      <c r="A388" s="113">
        <v>854</v>
      </c>
      <c r="B388" s="113"/>
      <c r="C388" s="113"/>
      <c r="D388" s="113" t="s">
        <v>41</v>
      </c>
      <c r="E388" s="168">
        <f>E389+E398+E403</f>
        <v>260574</v>
      </c>
      <c r="F388" s="168">
        <f>F389+F398+F403</f>
        <v>214412.28</v>
      </c>
      <c r="G388" s="399">
        <f t="shared" si="51"/>
        <v>0.8228460245458104</v>
      </c>
      <c r="H388" s="168">
        <f>H389+H398+H403</f>
        <v>242130</v>
      </c>
      <c r="I388" s="168">
        <f>I389+I398+I403</f>
        <v>195968.37</v>
      </c>
      <c r="J388" s="191">
        <f t="shared" si="52"/>
        <v>0.809351877090819</v>
      </c>
      <c r="K388" s="400"/>
      <c r="L388" s="168"/>
      <c r="M388" s="429"/>
      <c r="N388" s="400">
        <f>N398</f>
        <v>18444</v>
      </c>
      <c r="O388" s="168">
        <f>O398</f>
        <v>18443.91</v>
      </c>
      <c r="P388" s="194">
        <f>O388/N388</f>
        <v>0.9999951203643461</v>
      </c>
    </row>
    <row r="389" spans="1:16" ht="20.25">
      <c r="A389" s="45"/>
      <c r="B389" s="45">
        <v>85401</v>
      </c>
      <c r="C389" s="114"/>
      <c r="D389" s="45" t="s">
        <v>68</v>
      </c>
      <c r="E389" s="67">
        <f>SUM(E390:E397)</f>
        <v>96070</v>
      </c>
      <c r="F389" s="67">
        <f>SUM(F390:F397)</f>
        <v>94259.73000000001</v>
      </c>
      <c r="G389" s="263">
        <f t="shared" si="51"/>
        <v>0.9811567606953264</v>
      </c>
      <c r="H389" s="67">
        <f>SUM(H390:H397)</f>
        <v>96070</v>
      </c>
      <c r="I389" s="67">
        <f>SUM(I390:I397)</f>
        <v>94259.73000000001</v>
      </c>
      <c r="J389" s="291">
        <f t="shared" si="52"/>
        <v>0.9811567606953264</v>
      </c>
      <c r="K389" s="265"/>
      <c r="L389" s="67"/>
      <c r="M389" s="316"/>
      <c r="N389" s="265"/>
      <c r="O389" s="67"/>
      <c r="P389" s="69"/>
    </row>
    <row r="390" spans="1:16" ht="20.25">
      <c r="A390" s="45"/>
      <c r="B390" s="45"/>
      <c r="C390" s="114">
        <v>3020</v>
      </c>
      <c r="D390" s="138" t="s">
        <v>128</v>
      </c>
      <c r="E390" s="51">
        <v>5880</v>
      </c>
      <c r="F390" s="324">
        <v>5759.06</v>
      </c>
      <c r="G390" s="276">
        <f t="shared" si="51"/>
        <v>0.9794319727891158</v>
      </c>
      <c r="H390" s="51">
        <v>5880</v>
      </c>
      <c r="I390" s="324">
        <v>5759.06</v>
      </c>
      <c r="J390" s="105">
        <f t="shared" si="52"/>
        <v>0.9794319727891158</v>
      </c>
      <c r="K390" s="292"/>
      <c r="L390" s="293"/>
      <c r="M390" s="316"/>
      <c r="N390" s="292"/>
      <c r="O390" s="293"/>
      <c r="P390" s="310"/>
    </row>
    <row r="391" spans="1:16" ht="20.25">
      <c r="A391" s="45"/>
      <c r="B391" s="45"/>
      <c r="C391" s="114">
        <v>4010</v>
      </c>
      <c r="D391" s="346" t="s">
        <v>48</v>
      </c>
      <c r="E391" s="51">
        <v>64960</v>
      </c>
      <c r="F391" s="324">
        <v>64870.9</v>
      </c>
      <c r="G391" s="276">
        <f t="shared" si="51"/>
        <v>0.9986283866995074</v>
      </c>
      <c r="H391" s="51">
        <v>64960</v>
      </c>
      <c r="I391" s="324">
        <v>64870.9</v>
      </c>
      <c r="J391" s="105">
        <f t="shared" si="52"/>
        <v>0.9986283866995074</v>
      </c>
      <c r="K391" s="292"/>
      <c r="L391" s="293"/>
      <c r="M391" s="316"/>
      <c r="N391" s="292"/>
      <c r="O391" s="293"/>
      <c r="P391" s="310"/>
    </row>
    <row r="392" spans="1:16" ht="20.25">
      <c r="A392" s="45"/>
      <c r="B392" s="45"/>
      <c r="C392" s="114">
        <v>4040</v>
      </c>
      <c r="D392" s="346" t="s">
        <v>49</v>
      </c>
      <c r="E392" s="51">
        <v>4570</v>
      </c>
      <c r="F392" s="324">
        <v>4305.2</v>
      </c>
      <c r="G392" s="276">
        <f t="shared" si="51"/>
        <v>0.9420568927789934</v>
      </c>
      <c r="H392" s="51">
        <v>4570</v>
      </c>
      <c r="I392" s="324">
        <v>4305.2</v>
      </c>
      <c r="J392" s="105">
        <f t="shared" si="52"/>
        <v>0.9420568927789934</v>
      </c>
      <c r="K392" s="292"/>
      <c r="L392" s="293"/>
      <c r="M392" s="316"/>
      <c r="N392" s="292"/>
      <c r="O392" s="293"/>
      <c r="P392" s="310"/>
    </row>
    <row r="393" spans="1:16" ht="20.25">
      <c r="A393" s="66"/>
      <c r="B393" s="45"/>
      <c r="C393" s="114">
        <v>4110</v>
      </c>
      <c r="D393" s="346" t="s">
        <v>50</v>
      </c>
      <c r="E393" s="51">
        <v>12970</v>
      </c>
      <c r="F393" s="324">
        <v>11777.97</v>
      </c>
      <c r="G393" s="276">
        <f t="shared" si="51"/>
        <v>0.9080932922127987</v>
      </c>
      <c r="H393" s="51">
        <v>12970</v>
      </c>
      <c r="I393" s="324">
        <v>11777.97</v>
      </c>
      <c r="J393" s="105">
        <f t="shared" si="52"/>
        <v>0.9080932922127987</v>
      </c>
      <c r="K393" s="292"/>
      <c r="L393" s="293"/>
      <c r="M393" s="316"/>
      <c r="N393" s="292"/>
      <c r="O393" s="293"/>
      <c r="P393" s="310"/>
    </row>
    <row r="394" spans="1:16" ht="20.25">
      <c r="A394" s="66"/>
      <c r="B394" s="45"/>
      <c r="C394" s="114">
        <v>4120</v>
      </c>
      <c r="D394" s="346" t="s">
        <v>51</v>
      </c>
      <c r="E394" s="51">
        <v>1830</v>
      </c>
      <c r="F394" s="324">
        <v>1725.53</v>
      </c>
      <c r="G394" s="276">
        <f t="shared" si="51"/>
        <v>0.9429125683060109</v>
      </c>
      <c r="H394" s="51">
        <v>1830</v>
      </c>
      <c r="I394" s="324">
        <v>1725.53</v>
      </c>
      <c r="J394" s="105">
        <f t="shared" si="52"/>
        <v>0.9429125683060109</v>
      </c>
      <c r="K394" s="292"/>
      <c r="L394" s="293"/>
      <c r="M394" s="316"/>
      <c r="N394" s="292"/>
      <c r="O394" s="293"/>
      <c r="P394" s="310"/>
    </row>
    <row r="395" spans="1:16" ht="20.25">
      <c r="A395" s="262"/>
      <c r="B395" s="45"/>
      <c r="C395" s="114">
        <v>4210</v>
      </c>
      <c r="D395" s="346" t="s">
        <v>43</v>
      </c>
      <c r="E395" s="51">
        <v>60</v>
      </c>
      <c r="F395" s="324">
        <v>59.57</v>
      </c>
      <c r="G395" s="276">
        <f t="shared" si="51"/>
        <v>0.9928333333333333</v>
      </c>
      <c r="H395" s="51">
        <v>60</v>
      </c>
      <c r="I395" s="324">
        <v>59.57</v>
      </c>
      <c r="J395" s="105">
        <f t="shared" si="52"/>
        <v>0.9928333333333333</v>
      </c>
      <c r="K395" s="292"/>
      <c r="L395" s="293"/>
      <c r="M395" s="316"/>
      <c r="N395" s="292"/>
      <c r="O395" s="293"/>
      <c r="P395" s="310"/>
    </row>
    <row r="396" spans="1:16" ht="21.75" customHeight="1">
      <c r="A396" s="45"/>
      <c r="B396" s="45"/>
      <c r="C396" s="114">
        <v>4240</v>
      </c>
      <c r="D396" s="138" t="s">
        <v>135</v>
      </c>
      <c r="E396" s="51">
        <v>260</v>
      </c>
      <c r="F396" s="324">
        <v>221.5</v>
      </c>
      <c r="G396" s="276">
        <f t="shared" si="51"/>
        <v>0.8519230769230769</v>
      </c>
      <c r="H396" s="51">
        <v>260</v>
      </c>
      <c r="I396" s="324">
        <v>221.5</v>
      </c>
      <c r="J396" s="105">
        <f t="shared" si="52"/>
        <v>0.8519230769230769</v>
      </c>
      <c r="K396" s="292"/>
      <c r="L396" s="293"/>
      <c r="M396" s="316"/>
      <c r="N396" s="292"/>
      <c r="O396" s="293"/>
      <c r="P396" s="310"/>
    </row>
    <row r="397" spans="1:16" ht="20.25">
      <c r="A397" s="45"/>
      <c r="B397" s="45"/>
      <c r="C397" s="114">
        <v>4440</v>
      </c>
      <c r="D397" s="346" t="s">
        <v>129</v>
      </c>
      <c r="E397" s="51">
        <v>5540</v>
      </c>
      <c r="F397" s="324">
        <v>5540</v>
      </c>
      <c r="G397" s="276">
        <f t="shared" si="51"/>
        <v>1</v>
      </c>
      <c r="H397" s="51">
        <v>5540</v>
      </c>
      <c r="I397" s="324">
        <v>5540</v>
      </c>
      <c r="J397" s="105">
        <f t="shared" si="52"/>
        <v>1</v>
      </c>
      <c r="K397" s="292"/>
      <c r="L397" s="293"/>
      <c r="M397" s="303"/>
      <c r="N397" s="292"/>
      <c r="O397" s="293"/>
      <c r="P397" s="310"/>
    </row>
    <row r="398" spans="1:16" ht="20.25">
      <c r="A398" s="45"/>
      <c r="B398" s="78">
        <v>85415</v>
      </c>
      <c r="C398" s="116"/>
      <c r="D398" s="78" t="s">
        <v>81</v>
      </c>
      <c r="E398" s="79">
        <f>SUM(E399:E402)</f>
        <v>163894</v>
      </c>
      <c r="F398" s="79">
        <f>SUM(F399:F402)</f>
        <v>120152.54999999999</v>
      </c>
      <c r="G398" s="287">
        <f aca="true" t="shared" si="53" ref="G398:G414">F398/E398</f>
        <v>0.7331113402565071</v>
      </c>
      <c r="H398" s="79">
        <f>SUM(H399:H402)</f>
        <v>145450</v>
      </c>
      <c r="I398" s="79">
        <f>SUM(I399:I402)</f>
        <v>101708.64</v>
      </c>
      <c r="J398" s="81">
        <f aca="true" t="shared" si="54" ref="J398:J414">I398/H398</f>
        <v>0.6992687521485046</v>
      </c>
      <c r="K398" s="289"/>
      <c r="L398" s="79"/>
      <c r="M398" s="316"/>
      <c r="N398" s="289">
        <f>SUM(N399:N402)</f>
        <v>18444</v>
      </c>
      <c r="O398" s="289">
        <f>SUM(O399:O402)</f>
        <v>18443.91</v>
      </c>
      <c r="P398" s="125">
        <f>O398/N398</f>
        <v>0.9999951203643461</v>
      </c>
    </row>
    <row r="399" spans="1:16" ht="20.25">
      <c r="A399" s="45"/>
      <c r="B399" s="45"/>
      <c r="C399" s="114">
        <v>3240</v>
      </c>
      <c r="D399" s="87" t="s">
        <v>100</v>
      </c>
      <c r="E399" s="51">
        <v>139900</v>
      </c>
      <c r="F399" s="324">
        <v>96158.64</v>
      </c>
      <c r="G399" s="276">
        <f t="shared" si="53"/>
        <v>0.6873383845604003</v>
      </c>
      <c r="H399" s="51">
        <v>139900</v>
      </c>
      <c r="I399" s="324">
        <v>96158.64</v>
      </c>
      <c r="J399" s="105">
        <f t="shared" si="54"/>
        <v>0.6873383845604003</v>
      </c>
      <c r="K399" s="277"/>
      <c r="L399" s="51"/>
      <c r="M399" s="316"/>
      <c r="N399" s="277" t="s">
        <v>168</v>
      </c>
      <c r="O399" s="51" t="s">
        <v>168</v>
      </c>
      <c r="P399" s="73"/>
    </row>
    <row r="400" spans="1:16" ht="20.25">
      <c r="A400" s="45"/>
      <c r="B400" s="45"/>
      <c r="C400" s="114">
        <v>3248</v>
      </c>
      <c r="D400" s="87" t="s">
        <v>100</v>
      </c>
      <c r="E400" s="51">
        <v>12551</v>
      </c>
      <c r="F400" s="324">
        <v>12551.09</v>
      </c>
      <c r="G400" s="276">
        <f>F400/E400</f>
        <v>1.000007170743367</v>
      </c>
      <c r="H400" s="51"/>
      <c r="I400" s="324"/>
      <c r="J400" s="105"/>
      <c r="K400" s="277"/>
      <c r="L400" s="51"/>
      <c r="M400" s="316"/>
      <c r="N400" s="277">
        <v>12551</v>
      </c>
      <c r="O400" s="51">
        <v>12551.09</v>
      </c>
      <c r="P400" s="73">
        <f>O400/N400</f>
        <v>1.000007170743367</v>
      </c>
    </row>
    <row r="401" spans="1:16" ht="20.25">
      <c r="A401" s="45"/>
      <c r="B401" s="45"/>
      <c r="C401" s="114">
        <v>3249</v>
      </c>
      <c r="D401" s="87" t="s">
        <v>100</v>
      </c>
      <c r="E401" s="51">
        <v>5893</v>
      </c>
      <c r="F401" s="324">
        <v>5892.82</v>
      </c>
      <c r="G401" s="276">
        <f>F401/E401</f>
        <v>0.9999694552859324</v>
      </c>
      <c r="H401" s="51"/>
      <c r="I401" s="324"/>
      <c r="J401" s="105"/>
      <c r="K401" s="277"/>
      <c r="L401" s="51"/>
      <c r="M401" s="316"/>
      <c r="N401" s="277">
        <v>5893</v>
      </c>
      <c r="O401" s="51">
        <v>5892.82</v>
      </c>
      <c r="P401" s="73">
        <f>O401/N401</f>
        <v>0.9999694552859324</v>
      </c>
    </row>
    <row r="402" spans="1:13" ht="20.25">
      <c r="A402" s="45"/>
      <c r="B402" s="45"/>
      <c r="C402" s="114">
        <v>3260</v>
      </c>
      <c r="D402" s="87" t="s">
        <v>194</v>
      </c>
      <c r="E402" s="51">
        <v>5550</v>
      </c>
      <c r="F402" s="324">
        <v>5550</v>
      </c>
      <c r="G402" s="276">
        <f>F402/E402</f>
        <v>1</v>
      </c>
      <c r="H402" s="277">
        <v>5550</v>
      </c>
      <c r="I402" s="51">
        <v>5550</v>
      </c>
      <c r="J402" s="73">
        <f>I402/H402</f>
        <v>1</v>
      </c>
      <c r="K402" s="277"/>
      <c r="L402" s="51"/>
      <c r="M402" s="303"/>
    </row>
    <row r="403" spans="1:16" ht="20.25">
      <c r="A403" s="45"/>
      <c r="B403" s="78">
        <v>85446</v>
      </c>
      <c r="C403" s="116"/>
      <c r="D403" s="78" t="s">
        <v>65</v>
      </c>
      <c r="E403" s="79">
        <f>SUM(E404:E404)</f>
        <v>610</v>
      </c>
      <c r="F403" s="79">
        <f>SUM(F404:F404)</f>
        <v>0</v>
      </c>
      <c r="G403" s="287">
        <f>F403/E403</f>
        <v>0</v>
      </c>
      <c r="H403" s="79">
        <f>SUM(H404:H404)</f>
        <v>610</v>
      </c>
      <c r="I403" s="79">
        <f>SUM(I404:I404)</f>
        <v>0</v>
      </c>
      <c r="J403" s="81">
        <f>I403/H403</f>
        <v>0</v>
      </c>
      <c r="K403" s="289"/>
      <c r="L403" s="79"/>
      <c r="M403" s="316"/>
      <c r="N403" s="289"/>
      <c r="O403" s="79"/>
      <c r="P403" s="125"/>
    </row>
    <row r="404" spans="1:16" ht="21" thickBot="1">
      <c r="A404" s="45"/>
      <c r="B404" s="45"/>
      <c r="C404" s="114">
        <v>4300</v>
      </c>
      <c r="D404" s="87" t="s">
        <v>45</v>
      </c>
      <c r="E404" s="51">
        <v>610</v>
      </c>
      <c r="F404" s="324">
        <v>0</v>
      </c>
      <c r="G404" s="276">
        <f>F404/E404</f>
        <v>0</v>
      </c>
      <c r="H404" s="293">
        <v>610</v>
      </c>
      <c r="I404" s="293">
        <v>0</v>
      </c>
      <c r="J404" s="105">
        <f>I404/H404</f>
        <v>0</v>
      </c>
      <c r="K404" s="292"/>
      <c r="L404" s="293"/>
      <c r="M404" s="316"/>
      <c r="N404" s="292"/>
      <c r="O404" s="293"/>
      <c r="P404" s="310"/>
    </row>
    <row r="405" spans="1:16" s="195" customFormat="1" ht="30" customHeight="1" thickBot="1">
      <c r="A405" s="113">
        <v>900</v>
      </c>
      <c r="B405" s="113"/>
      <c r="C405" s="113"/>
      <c r="D405" s="113" t="s">
        <v>69</v>
      </c>
      <c r="E405" s="168">
        <f>E406+E408+E415+E417+E421+E428+E425</f>
        <v>1093887</v>
      </c>
      <c r="F405" s="168">
        <f>F406+F408+F415+F417+F421+F428+F425</f>
        <v>1024101.01</v>
      </c>
      <c r="G405" s="399">
        <f t="shared" si="53"/>
        <v>0.936203657233334</v>
      </c>
      <c r="H405" s="168">
        <f>H406+H408+H415+H417+H421+H428+H425</f>
        <v>803887</v>
      </c>
      <c r="I405" s="168">
        <f>I406+I408+I415+I417+I421+I428+I425</f>
        <v>758582.6900000001</v>
      </c>
      <c r="J405" s="191">
        <f t="shared" si="54"/>
        <v>0.9436434349603863</v>
      </c>
      <c r="K405" s="193"/>
      <c r="L405" s="168"/>
      <c r="M405" s="429"/>
      <c r="N405" s="400">
        <f>N406+N408+N415+N417+N421+N428</f>
        <v>290000</v>
      </c>
      <c r="O405" s="168">
        <f>O406+O408+O415+O417+O421+O428</f>
        <v>265518.32</v>
      </c>
      <c r="P405" s="194">
        <f>O405/N405</f>
        <v>0.9155804137931035</v>
      </c>
    </row>
    <row r="406" spans="1:16" ht="20.25">
      <c r="A406" s="66"/>
      <c r="B406" s="78">
        <v>90002</v>
      </c>
      <c r="C406" s="116"/>
      <c r="D406" s="78" t="s">
        <v>146</v>
      </c>
      <c r="E406" s="95">
        <f>SUM(E407:E407)</f>
        <v>42220</v>
      </c>
      <c r="F406" s="95">
        <f>SUM(F407:F407)</f>
        <v>42218.94</v>
      </c>
      <c r="G406" s="287">
        <f t="shared" si="53"/>
        <v>0.999974893415443</v>
      </c>
      <c r="H406" s="95">
        <f>SUM(H407:H407)</f>
        <v>42220</v>
      </c>
      <c r="I406" s="95">
        <f>SUM(I407:I407)</f>
        <v>42218.94</v>
      </c>
      <c r="J406" s="81">
        <f t="shared" si="54"/>
        <v>0.999974893415443</v>
      </c>
      <c r="K406" s="305"/>
      <c r="L406" s="306"/>
      <c r="M406" s="316"/>
      <c r="N406" s="305"/>
      <c r="O406" s="306"/>
      <c r="P406" s="308"/>
    </row>
    <row r="407" spans="1:16" ht="20.25">
      <c r="A407" s="66"/>
      <c r="B407" s="45"/>
      <c r="C407" s="114">
        <v>4300</v>
      </c>
      <c r="D407" s="87" t="s">
        <v>45</v>
      </c>
      <c r="E407" s="71">
        <v>42220</v>
      </c>
      <c r="F407" s="71">
        <v>42218.94</v>
      </c>
      <c r="G407" s="276">
        <f t="shared" si="53"/>
        <v>0.999974893415443</v>
      </c>
      <c r="H407" s="71">
        <v>42220</v>
      </c>
      <c r="I407" s="71">
        <v>42218.94</v>
      </c>
      <c r="J407" s="105">
        <f t="shared" si="54"/>
        <v>0.999974893415443</v>
      </c>
      <c r="K407" s="292"/>
      <c r="L407" s="293"/>
      <c r="M407" s="303"/>
      <c r="N407" s="292"/>
      <c r="O407" s="293"/>
      <c r="P407" s="310"/>
    </row>
    <row r="408" spans="1:16" ht="20.25">
      <c r="A408" s="262"/>
      <c r="B408" s="78">
        <v>90003</v>
      </c>
      <c r="C408" s="116"/>
      <c r="D408" s="78" t="s">
        <v>70</v>
      </c>
      <c r="E408" s="79">
        <f>E409+E410+E411+E412+E414</f>
        <v>202831</v>
      </c>
      <c r="F408" s="79">
        <f>F409+F410+F411+F412+F414</f>
        <v>195260.33000000002</v>
      </c>
      <c r="G408" s="287">
        <f t="shared" si="53"/>
        <v>0.9626749855791276</v>
      </c>
      <c r="H408" s="79">
        <f>H409+H410+H411+H412+H414</f>
        <v>202831</v>
      </c>
      <c r="I408" s="79">
        <f>I409+I410+I411+I412+I414</f>
        <v>195260.33000000002</v>
      </c>
      <c r="J408" s="288">
        <f t="shared" si="54"/>
        <v>0.9626749855791276</v>
      </c>
      <c r="K408" s="305"/>
      <c r="L408" s="306"/>
      <c r="M408" s="316"/>
      <c r="N408" s="305"/>
      <c r="O408" s="306"/>
      <c r="P408" s="308"/>
    </row>
    <row r="409" spans="1:16" ht="20.25">
      <c r="A409" s="262"/>
      <c r="B409" s="45"/>
      <c r="C409" s="114">
        <v>4210</v>
      </c>
      <c r="D409" s="346" t="s">
        <v>43</v>
      </c>
      <c r="E409" s="51">
        <v>2780</v>
      </c>
      <c r="F409" s="71">
        <v>2271.61</v>
      </c>
      <c r="G409" s="263">
        <f t="shared" si="53"/>
        <v>0.8171258992805756</v>
      </c>
      <c r="H409" s="51">
        <v>2780</v>
      </c>
      <c r="I409" s="71">
        <v>2271.61</v>
      </c>
      <c r="J409" s="102">
        <f t="shared" si="54"/>
        <v>0.8171258992805756</v>
      </c>
      <c r="K409" s="292"/>
      <c r="L409" s="293"/>
      <c r="M409" s="316"/>
      <c r="N409" s="292"/>
      <c r="O409" s="293"/>
      <c r="P409" s="310"/>
    </row>
    <row r="410" spans="1:16" ht="20.25">
      <c r="A410" s="262"/>
      <c r="B410" s="45"/>
      <c r="C410" s="114">
        <v>4270</v>
      </c>
      <c r="D410" s="346" t="s">
        <v>44</v>
      </c>
      <c r="E410" s="51">
        <v>2000</v>
      </c>
      <c r="F410" s="71">
        <v>1525.05</v>
      </c>
      <c r="G410" s="263">
        <f t="shared" si="53"/>
        <v>0.762525</v>
      </c>
      <c r="H410" s="51">
        <v>2000</v>
      </c>
      <c r="I410" s="71">
        <v>1525.05</v>
      </c>
      <c r="J410" s="102">
        <f t="shared" si="54"/>
        <v>0.762525</v>
      </c>
      <c r="K410" s="292"/>
      <c r="L410" s="293"/>
      <c r="M410" s="316"/>
      <c r="N410" s="292"/>
      <c r="O410" s="293"/>
      <c r="P410" s="310"/>
    </row>
    <row r="411" spans="1:16" ht="20.25">
      <c r="A411" s="262"/>
      <c r="B411" s="45"/>
      <c r="C411" s="114">
        <v>4300</v>
      </c>
      <c r="D411" s="87" t="s">
        <v>45</v>
      </c>
      <c r="E411" s="51">
        <v>195931</v>
      </c>
      <c r="F411" s="71">
        <v>189351.44</v>
      </c>
      <c r="G411" s="263">
        <f t="shared" si="53"/>
        <v>0.9664189944419209</v>
      </c>
      <c r="H411" s="51">
        <v>195931</v>
      </c>
      <c r="I411" s="71">
        <v>189351.44</v>
      </c>
      <c r="J411" s="102">
        <f t="shared" si="54"/>
        <v>0.9664189944419209</v>
      </c>
      <c r="K411" s="292"/>
      <c r="L411" s="293"/>
      <c r="M411" s="316"/>
      <c r="N411" s="292"/>
      <c r="O411" s="293"/>
      <c r="P411" s="310"/>
    </row>
    <row r="412" spans="1:16" ht="40.5">
      <c r="A412" s="430"/>
      <c r="B412" s="211"/>
      <c r="C412" s="354">
        <v>4740</v>
      </c>
      <c r="D412" s="218" t="s">
        <v>182</v>
      </c>
      <c r="E412" s="213">
        <v>50</v>
      </c>
      <c r="F412" s="214">
        <v>44.16</v>
      </c>
      <c r="G412" s="365">
        <f t="shared" si="53"/>
        <v>0.8832</v>
      </c>
      <c r="H412" s="213">
        <v>50</v>
      </c>
      <c r="I412" s="214">
        <v>44.16</v>
      </c>
      <c r="J412" s="431">
        <f t="shared" si="54"/>
        <v>0.8832</v>
      </c>
      <c r="K412" s="357"/>
      <c r="L412" s="358"/>
      <c r="M412" s="359"/>
      <c r="N412" s="357"/>
      <c r="O412" s="358"/>
      <c r="P412" s="360"/>
    </row>
    <row r="413" spans="1:16" ht="21" thickBot="1">
      <c r="A413" s="253">
        <v>1</v>
      </c>
      <c r="B413" s="253">
        <v>2</v>
      </c>
      <c r="C413" s="253">
        <v>3</v>
      </c>
      <c r="D413" s="253">
        <v>4</v>
      </c>
      <c r="E413" s="254">
        <v>5</v>
      </c>
      <c r="F413" s="254">
        <v>6</v>
      </c>
      <c r="G413" s="255">
        <v>7</v>
      </c>
      <c r="H413" s="256">
        <v>8</v>
      </c>
      <c r="I413" s="254">
        <v>9</v>
      </c>
      <c r="J413" s="257">
        <v>10</v>
      </c>
      <c r="K413" s="258">
        <v>11</v>
      </c>
      <c r="L413" s="259">
        <v>12</v>
      </c>
      <c r="M413" s="255">
        <v>13</v>
      </c>
      <c r="N413" s="260">
        <v>14</v>
      </c>
      <c r="O413" s="261">
        <v>15</v>
      </c>
      <c r="P413" s="261">
        <v>16</v>
      </c>
    </row>
    <row r="414" spans="1:16" ht="41.25" thickTop="1">
      <c r="A414" s="262"/>
      <c r="B414" s="45"/>
      <c r="C414" s="114">
        <v>4750</v>
      </c>
      <c r="D414" s="58" t="s">
        <v>183</v>
      </c>
      <c r="E414" s="51">
        <v>2070</v>
      </c>
      <c r="F414" s="71">
        <v>2068.07</v>
      </c>
      <c r="G414" s="263">
        <f t="shared" si="53"/>
        <v>0.9990676328502416</v>
      </c>
      <c r="H414" s="51">
        <v>2070</v>
      </c>
      <c r="I414" s="71">
        <v>2068.07</v>
      </c>
      <c r="J414" s="105">
        <f t="shared" si="54"/>
        <v>0.9990676328502416</v>
      </c>
      <c r="K414" s="292"/>
      <c r="L414" s="293"/>
      <c r="M414" s="316"/>
      <c r="N414" s="292"/>
      <c r="O414" s="293"/>
      <c r="P414" s="310"/>
    </row>
    <row r="415" spans="1:16" ht="20.25">
      <c r="A415" s="66"/>
      <c r="B415" s="78">
        <v>90004</v>
      </c>
      <c r="C415" s="116"/>
      <c r="D415" s="78" t="s">
        <v>71</v>
      </c>
      <c r="E415" s="79">
        <f>SUM(E416:E416)</f>
        <v>7500</v>
      </c>
      <c r="F415" s="79">
        <f>SUM(F416:F416)</f>
        <v>6770.95</v>
      </c>
      <c r="G415" s="287">
        <f aca="true" t="shared" si="55" ref="G415:G424">F415/E415</f>
        <v>0.9027933333333333</v>
      </c>
      <c r="H415" s="79">
        <f>SUM(H416:H416)</f>
        <v>7500</v>
      </c>
      <c r="I415" s="79">
        <f>SUM(I416:I416)</f>
        <v>6770.95</v>
      </c>
      <c r="J415" s="81">
        <f aca="true" t="shared" si="56" ref="J415:J424">I415/H415</f>
        <v>0.9027933333333333</v>
      </c>
      <c r="K415" s="305"/>
      <c r="L415" s="306"/>
      <c r="M415" s="316"/>
      <c r="N415" s="305"/>
      <c r="O415" s="306"/>
      <c r="P415" s="308"/>
    </row>
    <row r="416" spans="1:16" ht="20.25">
      <c r="A416" s="66"/>
      <c r="B416" s="368"/>
      <c r="C416" s="369">
        <v>4300</v>
      </c>
      <c r="D416" s="379" t="s">
        <v>45</v>
      </c>
      <c r="E416" s="375">
        <v>7500</v>
      </c>
      <c r="F416" s="432">
        <v>6770.95</v>
      </c>
      <c r="G416" s="372">
        <f t="shared" si="55"/>
        <v>0.9027933333333333</v>
      </c>
      <c r="H416" s="375">
        <v>7500</v>
      </c>
      <c r="I416" s="432">
        <v>6770.95</v>
      </c>
      <c r="J416" s="373">
        <f t="shared" si="56"/>
        <v>0.9027933333333333</v>
      </c>
      <c r="K416" s="374"/>
      <c r="L416" s="375"/>
      <c r="M416" s="303"/>
      <c r="N416" s="374"/>
      <c r="O416" s="375"/>
      <c r="P416" s="377"/>
    </row>
    <row r="417" spans="1:16" ht="20.25">
      <c r="A417" s="66"/>
      <c r="B417" s="45">
        <v>90013</v>
      </c>
      <c r="C417" s="114"/>
      <c r="D417" s="45" t="s">
        <v>72</v>
      </c>
      <c r="E417" s="67">
        <f>SUM(E418:E420)</f>
        <v>353500</v>
      </c>
      <c r="F417" s="67">
        <f>SUM(F418:F420)</f>
        <v>306852.32</v>
      </c>
      <c r="G417" s="263">
        <f t="shared" si="55"/>
        <v>0.8680405091937765</v>
      </c>
      <c r="H417" s="67">
        <f>SUM(H418:H420)</f>
        <v>63500</v>
      </c>
      <c r="I417" s="67">
        <f>SUM(I418:I420)</f>
        <v>41334</v>
      </c>
      <c r="J417" s="52">
        <f t="shared" si="56"/>
        <v>0.6509291338582677</v>
      </c>
      <c r="K417" s="292"/>
      <c r="L417" s="293"/>
      <c r="M417" s="316"/>
      <c r="N417" s="265">
        <f>SUM(N418:N420)</f>
        <v>290000</v>
      </c>
      <c r="O417" s="67">
        <f>SUM(O418:O420)</f>
        <v>265518.32</v>
      </c>
      <c r="P417" s="69">
        <f>O417/N417</f>
        <v>0.9155804137931035</v>
      </c>
    </row>
    <row r="418" spans="1:16" ht="20.25">
      <c r="A418" s="66"/>
      <c r="B418" s="45"/>
      <c r="C418" s="114">
        <v>4210</v>
      </c>
      <c r="D418" s="87" t="s">
        <v>43</v>
      </c>
      <c r="E418" s="51">
        <v>1100</v>
      </c>
      <c r="F418" s="71">
        <v>1032</v>
      </c>
      <c r="G418" s="276">
        <f>F418/E418</f>
        <v>0.9381818181818182</v>
      </c>
      <c r="H418" s="51">
        <v>1100</v>
      </c>
      <c r="I418" s="71">
        <v>1032</v>
      </c>
      <c r="J418" s="105">
        <f>I418/H418</f>
        <v>0.9381818181818182</v>
      </c>
      <c r="K418" s="292"/>
      <c r="L418" s="293"/>
      <c r="M418" s="316"/>
      <c r="N418" s="292"/>
      <c r="O418" s="293"/>
      <c r="P418" s="69"/>
    </row>
    <row r="419" spans="1:16" ht="20.25">
      <c r="A419" s="66"/>
      <c r="B419" s="45"/>
      <c r="C419" s="114">
        <v>4300</v>
      </c>
      <c r="D419" s="87" t="s">
        <v>45</v>
      </c>
      <c r="E419" s="51">
        <v>202400</v>
      </c>
      <c r="F419" s="71">
        <v>173559.03</v>
      </c>
      <c r="G419" s="276">
        <f>F419/E419</f>
        <v>0.8575050889328063</v>
      </c>
      <c r="H419" s="51">
        <v>42400</v>
      </c>
      <c r="I419" s="71">
        <v>38040.71</v>
      </c>
      <c r="J419" s="105">
        <f>I419/H419</f>
        <v>0.8971865566037736</v>
      </c>
      <c r="K419" s="292"/>
      <c r="L419" s="293"/>
      <c r="M419" s="316"/>
      <c r="N419" s="292">
        <v>160000</v>
      </c>
      <c r="O419" s="293">
        <v>135518.32</v>
      </c>
      <c r="P419" s="69">
        <f>O419/N419</f>
        <v>0.8469895000000001</v>
      </c>
    </row>
    <row r="420" spans="1:16" ht="20.25">
      <c r="A420" s="66"/>
      <c r="B420" s="45"/>
      <c r="C420" s="114">
        <v>6050</v>
      </c>
      <c r="D420" s="87" t="s">
        <v>73</v>
      </c>
      <c r="E420" s="293">
        <v>150000</v>
      </c>
      <c r="F420" s="71">
        <v>132261.29</v>
      </c>
      <c r="G420" s="276">
        <f t="shared" si="55"/>
        <v>0.8817419333333334</v>
      </c>
      <c r="H420" s="293">
        <v>20000</v>
      </c>
      <c r="I420" s="71">
        <v>2261.29</v>
      </c>
      <c r="J420" s="105">
        <f t="shared" si="56"/>
        <v>0.1130645</v>
      </c>
      <c r="K420" s="292"/>
      <c r="L420" s="293"/>
      <c r="M420" s="303"/>
      <c r="N420" s="292">
        <v>130000</v>
      </c>
      <c r="O420" s="293">
        <v>130000</v>
      </c>
      <c r="P420" s="310">
        <f>O420/N420</f>
        <v>1</v>
      </c>
    </row>
    <row r="421" spans="1:16" ht="20.25">
      <c r="A421" s="66"/>
      <c r="B421" s="78">
        <v>90015</v>
      </c>
      <c r="C421" s="116"/>
      <c r="D421" s="78" t="s">
        <v>31</v>
      </c>
      <c r="E421" s="79">
        <f>SUM(E422:E424)</f>
        <v>154000</v>
      </c>
      <c r="F421" s="79">
        <f>SUM(F422:F424)</f>
        <v>149317.84</v>
      </c>
      <c r="G421" s="287">
        <f t="shared" si="55"/>
        <v>0.9695963636363636</v>
      </c>
      <c r="H421" s="79">
        <f>SUM(H422:H424)</f>
        <v>154000</v>
      </c>
      <c r="I421" s="79">
        <f>SUM(I422:I424)</f>
        <v>149317.84</v>
      </c>
      <c r="J421" s="81">
        <f t="shared" si="56"/>
        <v>0.9695963636363636</v>
      </c>
      <c r="K421" s="289"/>
      <c r="L421" s="79"/>
      <c r="M421" s="316"/>
      <c r="N421" s="305"/>
      <c r="O421" s="306"/>
      <c r="P421" s="308"/>
    </row>
    <row r="422" spans="1:16" ht="20.25">
      <c r="A422" s="66"/>
      <c r="B422" s="45"/>
      <c r="C422" s="114">
        <v>4210</v>
      </c>
      <c r="D422" s="87" t="s">
        <v>43</v>
      </c>
      <c r="E422" s="51">
        <v>1000</v>
      </c>
      <c r="F422" s="71">
        <v>672.39</v>
      </c>
      <c r="G422" s="276">
        <f t="shared" si="55"/>
        <v>0.6723899999999999</v>
      </c>
      <c r="H422" s="51">
        <v>1000</v>
      </c>
      <c r="I422" s="71">
        <v>672.39</v>
      </c>
      <c r="J422" s="102">
        <f t="shared" si="56"/>
        <v>0.6723899999999999</v>
      </c>
      <c r="K422" s="265"/>
      <c r="L422" s="67"/>
      <c r="M422" s="316"/>
      <c r="N422" s="292"/>
      <c r="O422" s="293"/>
      <c r="P422" s="310"/>
    </row>
    <row r="423" spans="1:16" ht="20.25">
      <c r="A423" s="66"/>
      <c r="B423" s="45"/>
      <c r="C423" s="114">
        <v>4260</v>
      </c>
      <c r="D423" s="87" t="s">
        <v>53</v>
      </c>
      <c r="E423" s="51">
        <v>135000</v>
      </c>
      <c r="F423" s="324">
        <v>130783.76</v>
      </c>
      <c r="G423" s="276">
        <f t="shared" si="55"/>
        <v>0.9687685925925925</v>
      </c>
      <c r="H423" s="51">
        <v>135000</v>
      </c>
      <c r="I423" s="324">
        <v>130783.76</v>
      </c>
      <c r="J423" s="105">
        <f t="shared" si="56"/>
        <v>0.9687685925925925</v>
      </c>
      <c r="K423" s="292"/>
      <c r="L423" s="293"/>
      <c r="M423" s="316"/>
      <c r="N423" s="292"/>
      <c r="O423" s="293"/>
      <c r="P423" s="310"/>
    </row>
    <row r="424" spans="1:16" ht="20.25">
      <c r="A424" s="66"/>
      <c r="B424" s="45"/>
      <c r="C424" s="114">
        <v>4270</v>
      </c>
      <c r="D424" s="87" t="s">
        <v>44</v>
      </c>
      <c r="E424" s="51">
        <v>18000</v>
      </c>
      <c r="F424" s="324">
        <v>17861.69</v>
      </c>
      <c r="G424" s="276">
        <f t="shared" si="55"/>
        <v>0.9923161111111111</v>
      </c>
      <c r="H424" s="51">
        <v>18000</v>
      </c>
      <c r="I424" s="324">
        <v>17861.69</v>
      </c>
      <c r="J424" s="105">
        <f t="shared" si="56"/>
        <v>0.9923161111111111</v>
      </c>
      <c r="K424" s="292"/>
      <c r="L424" s="293"/>
      <c r="M424" s="303"/>
      <c r="N424" s="292"/>
      <c r="O424" s="293"/>
      <c r="P424" s="310"/>
    </row>
    <row r="425" spans="1:16" ht="20.25">
      <c r="A425" s="66"/>
      <c r="B425" s="78">
        <v>90017</v>
      </c>
      <c r="C425" s="116"/>
      <c r="D425" s="78" t="s">
        <v>195</v>
      </c>
      <c r="E425" s="79">
        <f>SUM(E426:E427)</f>
        <v>155000</v>
      </c>
      <c r="F425" s="79">
        <f>SUM(F426:F427)</f>
        <v>155000</v>
      </c>
      <c r="G425" s="287">
        <f aca="true" t="shared" si="57" ref="G425:G431">F425/E425</f>
        <v>1</v>
      </c>
      <c r="H425" s="79">
        <f>SUM(H426:H427)</f>
        <v>155000</v>
      </c>
      <c r="I425" s="79">
        <f>SUM(I426:I427)</f>
        <v>155000</v>
      </c>
      <c r="J425" s="81">
        <f aca="true" t="shared" si="58" ref="J425:J431">I425/H425</f>
        <v>1</v>
      </c>
      <c r="K425" s="305"/>
      <c r="L425" s="306"/>
      <c r="M425" s="316"/>
      <c r="N425" s="305"/>
      <c r="O425" s="306"/>
      <c r="P425" s="308"/>
    </row>
    <row r="426" spans="1:16" ht="40.5">
      <c r="A426" s="66"/>
      <c r="B426" s="45"/>
      <c r="C426" s="114">
        <v>2410</v>
      </c>
      <c r="D426" s="58" t="s">
        <v>196</v>
      </c>
      <c r="E426" s="293">
        <v>50000</v>
      </c>
      <c r="F426" s="324">
        <v>50000</v>
      </c>
      <c r="G426" s="276">
        <f t="shared" si="57"/>
        <v>1</v>
      </c>
      <c r="H426" s="293">
        <v>50000</v>
      </c>
      <c r="I426" s="324">
        <v>50000</v>
      </c>
      <c r="J426" s="105">
        <f t="shared" si="58"/>
        <v>1</v>
      </c>
      <c r="K426" s="292"/>
      <c r="L426" s="293"/>
      <c r="M426" s="316"/>
      <c r="N426" s="292"/>
      <c r="O426" s="293"/>
      <c r="P426" s="310"/>
    </row>
    <row r="427" spans="1:16" ht="60.75">
      <c r="A427" s="66"/>
      <c r="B427" s="45"/>
      <c r="C427" s="114">
        <v>6210</v>
      </c>
      <c r="D427" s="58" t="s">
        <v>197</v>
      </c>
      <c r="E427" s="293">
        <v>105000</v>
      </c>
      <c r="F427" s="324">
        <v>105000</v>
      </c>
      <c r="G427" s="276">
        <f t="shared" si="57"/>
        <v>1</v>
      </c>
      <c r="H427" s="293">
        <v>105000</v>
      </c>
      <c r="I427" s="324">
        <v>105000</v>
      </c>
      <c r="J427" s="105">
        <f t="shared" si="58"/>
        <v>1</v>
      </c>
      <c r="K427" s="292"/>
      <c r="L427" s="293"/>
      <c r="M427" s="303"/>
      <c r="N427" s="292"/>
      <c r="O427" s="293"/>
      <c r="P427" s="310"/>
    </row>
    <row r="428" spans="1:16" ht="20.25">
      <c r="A428" s="66"/>
      <c r="B428" s="78">
        <v>90095</v>
      </c>
      <c r="C428" s="116"/>
      <c r="D428" s="78" t="s">
        <v>4</v>
      </c>
      <c r="E428" s="79">
        <f>SUM(E429:E429)</f>
        <v>178836</v>
      </c>
      <c r="F428" s="79">
        <f>SUM(F429:F429)</f>
        <v>168680.63</v>
      </c>
      <c r="G428" s="287">
        <f t="shared" si="57"/>
        <v>0.9432140620456732</v>
      </c>
      <c r="H428" s="79">
        <f>SUM(H429:H429)</f>
        <v>178836</v>
      </c>
      <c r="I428" s="79">
        <f>SUM(I429:I429)</f>
        <v>168680.63</v>
      </c>
      <c r="J428" s="81">
        <f t="shared" si="58"/>
        <v>0.9432140620456732</v>
      </c>
      <c r="K428" s="305"/>
      <c r="L428" s="306"/>
      <c r="M428" s="316"/>
      <c r="N428" s="305"/>
      <c r="O428" s="306"/>
      <c r="P428" s="308"/>
    </row>
    <row r="429" spans="1:16" ht="21" thickBot="1">
      <c r="A429" s="66"/>
      <c r="B429" s="45"/>
      <c r="C429" s="114">
        <v>6050</v>
      </c>
      <c r="D429" s="87" t="s">
        <v>73</v>
      </c>
      <c r="E429" s="293">
        <v>178836</v>
      </c>
      <c r="F429" s="324">
        <v>168680.63</v>
      </c>
      <c r="G429" s="276">
        <f t="shared" si="57"/>
        <v>0.9432140620456732</v>
      </c>
      <c r="H429" s="293">
        <v>178836</v>
      </c>
      <c r="I429" s="324">
        <v>168680.63</v>
      </c>
      <c r="J429" s="105">
        <f t="shared" si="58"/>
        <v>0.9432140620456732</v>
      </c>
      <c r="K429" s="292"/>
      <c r="L429" s="293"/>
      <c r="M429" s="316"/>
      <c r="N429" s="292"/>
      <c r="O429" s="293"/>
      <c r="P429" s="310"/>
    </row>
    <row r="430" spans="1:16" s="195" customFormat="1" ht="30" customHeight="1" thickBot="1">
      <c r="A430" s="113">
        <v>921</v>
      </c>
      <c r="B430" s="113"/>
      <c r="C430" s="113"/>
      <c r="D430" s="113" t="s">
        <v>80</v>
      </c>
      <c r="E430" s="168">
        <f>E431</f>
        <v>153600</v>
      </c>
      <c r="F430" s="168">
        <f>F431</f>
        <v>152013.72</v>
      </c>
      <c r="G430" s="399">
        <f t="shared" si="57"/>
        <v>0.98967265625</v>
      </c>
      <c r="H430" s="168">
        <f>H431</f>
        <v>153600</v>
      </c>
      <c r="I430" s="168">
        <f>I431</f>
        <v>152013.72</v>
      </c>
      <c r="J430" s="191">
        <f t="shared" si="58"/>
        <v>0.98967265625</v>
      </c>
      <c r="K430" s="400"/>
      <c r="L430" s="168"/>
      <c r="M430" s="429"/>
      <c r="N430" s="400"/>
      <c r="O430" s="168"/>
      <c r="P430" s="414"/>
    </row>
    <row r="431" spans="1:16" ht="20.25">
      <c r="A431" s="66"/>
      <c r="B431" s="45">
        <v>92116</v>
      </c>
      <c r="C431" s="114"/>
      <c r="D431" s="45" t="s">
        <v>74</v>
      </c>
      <c r="E431" s="109">
        <f>SUM(E432:E432)</f>
        <v>153600</v>
      </c>
      <c r="F431" s="109">
        <f>SUM(F432:F432)</f>
        <v>152013.72</v>
      </c>
      <c r="G431" s="263">
        <f t="shared" si="57"/>
        <v>0.98967265625</v>
      </c>
      <c r="H431" s="109">
        <f>SUM(H432:H432)</f>
        <v>153600</v>
      </c>
      <c r="I431" s="109">
        <f>SUM(I432:I432)</f>
        <v>152013.72</v>
      </c>
      <c r="J431" s="291">
        <f t="shared" si="58"/>
        <v>0.98967265625</v>
      </c>
      <c r="K431" s="265"/>
      <c r="L431" s="67"/>
      <c r="M431" s="316"/>
      <c r="N431" s="133"/>
      <c r="O431" s="109"/>
      <c r="P431" s="347"/>
    </row>
    <row r="432" spans="1:16" ht="41.25" thickBot="1">
      <c r="A432" s="66"/>
      <c r="B432" s="45"/>
      <c r="C432" s="57">
        <v>2480</v>
      </c>
      <c r="D432" s="58" t="s">
        <v>138</v>
      </c>
      <c r="E432" s="293">
        <v>153600</v>
      </c>
      <c r="F432" s="324">
        <v>152013.72</v>
      </c>
      <c r="G432" s="276">
        <f aca="true" t="shared" si="59" ref="G432:G448">F432/E432</f>
        <v>0.98967265625</v>
      </c>
      <c r="H432" s="293">
        <v>153600</v>
      </c>
      <c r="I432" s="324">
        <v>152013.72</v>
      </c>
      <c r="J432" s="105">
        <f aca="true" t="shared" si="60" ref="J432:J448">I432/H432</f>
        <v>0.98967265625</v>
      </c>
      <c r="K432" s="292"/>
      <c r="L432" s="293"/>
      <c r="M432" s="316"/>
      <c r="N432" s="292"/>
      <c r="O432" s="293"/>
      <c r="P432" s="348"/>
    </row>
    <row r="433" spans="1:16" s="195" customFormat="1" ht="30" customHeight="1" thickBot="1">
      <c r="A433" s="398">
        <v>926</v>
      </c>
      <c r="B433" s="113"/>
      <c r="C433" s="113"/>
      <c r="D433" s="113" t="s">
        <v>75</v>
      </c>
      <c r="E433" s="168">
        <f>E434</f>
        <v>275900</v>
      </c>
      <c r="F433" s="168">
        <f>F434</f>
        <v>270988.43</v>
      </c>
      <c r="G433" s="399">
        <f t="shared" si="59"/>
        <v>0.9821980065241029</v>
      </c>
      <c r="H433" s="168">
        <f>H434</f>
        <v>275900</v>
      </c>
      <c r="I433" s="168">
        <f>I434</f>
        <v>270988.43</v>
      </c>
      <c r="J433" s="191">
        <f t="shared" si="60"/>
        <v>0.9821980065241029</v>
      </c>
      <c r="K433" s="409"/>
      <c r="L433" s="410"/>
      <c r="M433" s="429"/>
      <c r="N433" s="409"/>
      <c r="O433" s="410"/>
      <c r="P433" s="412"/>
    </row>
    <row r="434" spans="1:16" ht="20.25">
      <c r="A434" s="66"/>
      <c r="B434" s="78">
        <v>92695</v>
      </c>
      <c r="C434" s="116"/>
      <c r="D434" s="78" t="s">
        <v>4</v>
      </c>
      <c r="E434" s="95">
        <f>SUM(E435:E447)</f>
        <v>275900</v>
      </c>
      <c r="F434" s="95">
        <f>SUM(F435:F447)</f>
        <v>270988.43</v>
      </c>
      <c r="G434" s="287">
        <f t="shared" si="59"/>
        <v>0.9821980065241029</v>
      </c>
      <c r="H434" s="95">
        <f>SUM(H435:H447)</f>
        <v>275900</v>
      </c>
      <c r="I434" s="95">
        <f>SUM(I435:I447)</f>
        <v>270988.43</v>
      </c>
      <c r="J434" s="81">
        <f t="shared" si="60"/>
        <v>0.9821980065241029</v>
      </c>
      <c r="K434" s="305"/>
      <c r="L434" s="306"/>
      <c r="M434" s="316"/>
      <c r="N434" s="305"/>
      <c r="O434" s="306"/>
      <c r="P434" s="308"/>
    </row>
    <row r="435" spans="1:16" ht="20.25">
      <c r="A435" s="66"/>
      <c r="B435" s="45"/>
      <c r="C435" s="114">
        <v>4010</v>
      </c>
      <c r="D435" s="87" t="s">
        <v>48</v>
      </c>
      <c r="E435" s="293">
        <v>41850</v>
      </c>
      <c r="F435" s="324">
        <v>41843.66</v>
      </c>
      <c r="G435" s="276">
        <f t="shared" si="59"/>
        <v>0.9998485065710873</v>
      </c>
      <c r="H435" s="293">
        <v>41850</v>
      </c>
      <c r="I435" s="324">
        <v>41843.66</v>
      </c>
      <c r="J435" s="105">
        <f t="shared" si="60"/>
        <v>0.9998485065710873</v>
      </c>
      <c r="K435" s="292"/>
      <c r="L435" s="293"/>
      <c r="M435" s="316"/>
      <c r="N435" s="292"/>
      <c r="O435" s="293"/>
      <c r="P435" s="310"/>
    </row>
    <row r="436" spans="1:16" ht="20.25">
      <c r="A436" s="66"/>
      <c r="B436" s="45"/>
      <c r="C436" s="114">
        <v>4040</v>
      </c>
      <c r="D436" s="87" t="s">
        <v>49</v>
      </c>
      <c r="E436" s="293">
        <v>3500</v>
      </c>
      <c r="F436" s="324">
        <v>3427.2</v>
      </c>
      <c r="G436" s="276">
        <f t="shared" si="59"/>
        <v>0.9792</v>
      </c>
      <c r="H436" s="293">
        <v>3500</v>
      </c>
      <c r="I436" s="324">
        <v>3427.2</v>
      </c>
      <c r="J436" s="105">
        <f t="shared" si="60"/>
        <v>0.9792</v>
      </c>
      <c r="K436" s="292"/>
      <c r="L436" s="293"/>
      <c r="M436" s="316"/>
      <c r="N436" s="292"/>
      <c r="O436" s="293"/>
      <c r="P436" s="310"/>
    </row>
    <row r="437" spans="1:16" ht="20.25">
      <c r="A437" s="66"/>
      <c r="B437" s="45"/>
      <c r="C437" s="114">
        <v>4110</v>
      </c>
      <c r="D437" s="87" t="s">
        <v>50</v>
      </c>
      <c r="E437" s="293">
        <v>8190</v>
      </c>
      <c r="F437" s="324">
        <v>8180.29</v>
      </c>
      <c r="G437" s="276">
        <f t="shared" si="59"/>
        <v>0.9988144078144078</v>
      </c>
      <c r="H437" s="293">
        <v>8190</v>
      </c>
      <c r="I437" s="324">
        <v>8180.29</v>
      </c>
      <c r="J437" s="105">
        <f t="shared" si="60"/>
        <v>0.9988144078144078</v>
      </c>
      <c r="K437" s="292"/>
      <c r="L437" s="293"/>
      <c r="M437" s="316"/>
      <c r="N437" s="292"/>
      <c r="O437" s="293"/>
      <c r="P437" s="310"/>
    </row>
    <row r="438" spans="1:16" ht="20.25">
      <c r="A438" s="66"/>
      <c r="B438" s="45"/>
      <c r="C438" s="114">
        <v>4120</v>
      </c>
      <c r="D438" s="87" t="s">
        <v>51</v>
      </c>
      <c r="E438" s="293">
        <v>1200</v>
      </c>
      <c r="F438" s="324">
        <v>1165.89</v>
      </c>
      <c r="G438" s="276">
        <f t="shared" si="59"/>
        <v>0.9715750000000001</v>
      </c>
      <c r="H438" s="293">
        <v>1200</v>
      </c>
      <c r="I438" s="324">
        <v>1165.89</v>
      </c>
      <c r="J438" s="105">
        <f t="shared" si="60"/>
        <v>0.9715750000000001</v>
      </c>
      <c r="K438" s="292"/>
      <c r="L438" s="293"/>
      <c r="M438" s="316"/>
      <c r="N438" s="292"/>
      <c r="O438" s="293"/>
      <c r="P438" s="310"/>
    </row>
    <row r="439" spans="1:16" ht="20.25">
      <c r="A439" s="66"/>
      <c r="B439" s="45"/>
      <c r="C439" s="114">
        <v>4140</v>
      </c>
      <c r="D439" s="87" t="s">
        <v>52</v>
      </c>
      <c r="E439" s="51">
        <v>1400</v>
      </c>
      <c r="F439" s="324">
        <v>1368.01</v>
      </c>
      <c r="G439" s="276">
        <f t="shared" si="59"/>
        <v>0.97715</v>
      </c>
      <c r="H439" s="51">
        <v>1400</v>
      </c>
      <c r="I439" s="324">
        <v>1368.01</v>
      </c>
      <c r="J439" s="105">
        <f t="shared" si="60"/>
        <v>0.97715</v>
      </c>
      <c r="K439" s="292"/>
      <c r="L439" s="293"/>
      <c r="M439" s="316"/>
      <c r="N439" s="292"/>
      <c r="O439" s="293"/>
      <c r="P439" s="310"/>
    </row>
    <row r="440" spans="1:16" ht="20.25">
      <c r="A440" s="66"/>
      <c r="B440" s="45"/>
      <c r="C440" s="114">
        <v>4170</v>
      </c>
      <c r="D440" s="87" t="s">
        <v>98</v>
      </c>
      <c r="E440" s="51">
        <v>3000</v>
      </c>
      <c r="F440" s="324">
        <v>2061.46</v>
      </c>
      <c r="G440" s="276">
        <f t="shared" si="59"/>
        <v>0.6871533333333334</v>
      </c>
      <c r="H440" s="51">
        <v>3000</v>
      </c>
      <c r="I440" s="324">
        <v>2061.46</v>
      </c>
      <c r="J440" s="105">
        <f t="shared" si="60"/>
        <v>0.6871533333333334</v>
      </c>
      <c r="K440" s="292"/>
      <c r="L440" s="293"/>
      <c r="M440" s="316"/>
      <c r="N440" s="292"/>
      <c r="O440" s="293"/>
      <c r="P440" s="310"/>
    </row>
    <row r="441" spans="1:16" ht="20.25">
      <c r="A441" s="66"/>
      <c r="B441" s="45"/>
      <c r="C441" s="57">
        <v>4210</v>
      </c>
      <c r="D441" s="87" t="s">
        <v>43</v>
      </c>
      <c r="E441" s="293">
        <v>61660</v>
      </c>
      <c r="F441" s="324">
        <v>60289.11</v>
      </c>
      <c r="G441" s="276">
        <f>F441/E441</f>
        <v>0.9777669477781382</v>
      </c>
      <c r="H441" s="293">
        <v>61660</v>
      </c>
      <c r="I441" s="324">
        <v>60289.11</v>
      </c>
      <c r="J441" s="105">
        <f>I441/H441</f>
        <v>0.9777669477781382</v>
      </c>
      <c r="K441" s="292"/>
      <c r="L441" s="293"/>
      <c r="M441" s="316"/>
      <c r="N441" s="292"/>
      <c r="O441" s="293"/>
      <c r="P441" s="310"/>
    </row>
    <row r="442" spans="1:16" ht="20.25">
      <c r="A442" s="66"/>
      <c r="B442" s="45"/>
      <c r="C442" s="57">
        <v>4260</v>
      </c>
      <c r="D442" s="87" t="s">
        <v>53</v>
      </c>
      <c r="E442" s="293">
        <v>6500</v>
      </c>
      <c r="F442" s="324">
        <v>5982.89</v>
      </c>
      <c r="G442" s="276">
        <f t="shared" si="59"/>
        <v>0.9204446153846154</v>
      </c>
      <c r="H442" s="293">
        <v>6500</v>
      </c>
      <c r="I442" s="324">
        <v>5982.89</v>
      </c>
      <c r="J442" s="105">
        <f t="shared" si="60"/>
        <v>0.9204446153846154</v>
      </c>
      <c r="K442" s="292"/>
      <c r="L442" s="293"/>
      <c r="M442" s="316"/>
      <c r="N442" s="292"/>
      <c r="O442" s="293"/>
      <c r="P442" s="310"/>
    </row>
    <row r="443" spans="1:16" ht="20.25">
      <c r="A443" s="66"/>
      <c r="B443" s="45"/>
      <c r="C443" s="57">
        <v>4270</v>
      </c>
      <c r="D443" s="87" t="s">
        <v>44</v>
      </c>
      <c r="E443" s="293">
        <v>1600</v>
      </c>
      <c r="F443" s="324">
        <v>1592.49</v>
      </c>
      <c r="G443" s="276">
        <f t="shared" si="59"/>
        <v>0.9953062500000001</v>
      </c>
      <c r="H443" s="293">
        <v>1600</v>
      </c>
      <c r="I443" s="324">
        <v>1592.49</v>
      </c>
      <c r="J443" s="105">
        <f t="shared" si="60"/>
        <v>0.9953062500000001</v>
      </c>
      <c r="K443" s="292"/>
      <c r="L443" s="293"/>
      <c r="M443" s="316"/>
      <c r="N443" s="292"/>
      <c r="O443" s="293"/>
      <c r="P443" s="310"/>
    </row>
    <row r="444" spans="1:16" ht="20.25">
      <c r="A444" s="66"/>
      <c r="B444" s="45"/>
      <c r="C444" s="114">
        <v>4300</v>
      </c>
      <c r="D444" s="87" t="s">
        <v>45</v>
      </c>
      <c r="E444" s="293">
        <v>69890</v>
      </c>
      <c r="F444" s="324">
        <v>69781.82</v>
      </c>
      <c r="G444" s="276">
        <f>F444/E444</f>
        <v>0.9984521390756905</v>
      </c>
      <c r="H444" s="293">
        <v>69890</v>
      </c>
      <c r="I444" s="324">
        <v>69781.82</v>
      </c>
      <c r="J444" s="105">
        <f>I444/H444</f>
        <v>0.9984521390756905</v>
      </c>
      <c r="K444" s="292"/>
      <c r="L444" s="293"/>
      <c r="M444" s="316"/>
      <c r="N444" s="292"/>
      <c r="O444" s="293"/>
      <c r="P444" s="310"/>
    </row>
    <row r="445" spans="1:16" ht="20.25">
      <c r="A445" s="333"/>
      <c r="B445" s="45"/>
      <c r="C445" s="57">
        <v>4410</v>
      </c>
      <c r="D445" s="87" t="s">
        <v>56</v>
      </c>
      <c r="E445" s="293">
        <v>6110</v>
      </c>
      <c r="F445" s="324">
        <v>6105.33</v>
      </c>
      <c r="G445" s="276">
        <f t="shared" si="59"/>
        <v>0.9992356792144026</v>
      </c>
      <c r="H445" s="293">
        <v>6110</v>
      </c>
      <c r="I445" s="324">
        <v>6105.33</v>
      </c>
      <c r="J445" s="105">
        <f t="shared" si="60"/>
        <v>0.9992356792144026</v>
      </c>
      <c r="K445" s="292"/>
      <c r="L445" s="293"/>
      <c r="M445" s="316"/>
      <c r="N445" s="292"/>
      <c r="O445" s="293"/>
      <c r="P445" s="310"/>
    </row>
    <row r="446" spans="1:16" ht="20.25">
      <c r="A446" s="333"/>
      <c r="B446" s="45"/>
      <c r="C446" s="114">
        <v>4440</v>
      </c>
      <c r="D446" s="87" t="s">
        <v>129</v>
      </c>
      <c r="E446" s="293">
        <v>1600</v>
      </c>
      <c r="F446" s="324">
        <v>1600</v>
      </c>
      <c r="G446" s="276">
        <f t="shared" si="59"/>
        <v>1</v>
      </c>
      <c r="H446" s="293">
        <v>1600</v>
      </c>
      <c r="I446" s="324">
        <v>1600</v>
      </c>
      <c r="J446" s="105">
        <f t="shared" si="60"/>
        <v>1</v>
      </c>
      <c r="K446" s="292"/>
      <c r="L446" s="293"/>
      <c r="M446" s="316"/>
      <c r="N446" s="292"/>
      <c r="O446" s="293"/>
      <c r="P446" s="310"/>
    </row>
    <row r="447" spans="1:16" ht="21" thickBot="1">
      <c r="A447" s="333"/>
      <c r="B447" s="45"/>
      <c r="C447" s="114">
        <v>6050</v>
      </c>
      <c r="D447" s="87" t="s">
        <v>73</v>
      </c>
      <c r="E447" s="293">
        <v>69400</v>
      </c>
      <c r="F447" s="324">
        <v>67590.28</v>
      </c>
      <c r="G447" s="276">
        <f t="shared" si="59"/>
        <v>0.9739233429394812</v>
      </c>
      <c r="H447" s="293">
        <v>69400</v>
      </c>
      <c r="I447" s="324">
        <v>67590.28</v>
      </c>
      <c r="J447" s="105">
        <f t="shared" si="60"/>
        <v>0.9739233429394812</v>
      </c>
      <c r="K447" s="292"/>
      <c r="L447" s="293"/>
      <c r="M447" s="316"/>
      <c r="N447" s="292"/>
      <c r="O447" s="293"/>
      <c r="P447" s="310"/>
    </row>
    <row r="448" spans="1:16" s="175" customFormat="1" ht="30" customHeight="1" thickBot="1">
      <c r="A448" s="418"/>
      <c r="B448" s="434" t="s">
        <v>76</v>
      </c>
      <c r="C448" s="433"/>
      <c r="D448" s="112"/>
      <c r="E448" s="170">
        <f>E4+E16+E33+E38+E50+E62+E120+E151+E171+E175+E179+E326+E342+E388+E405+E430+E433</f>
        <v>12939631.27</v>
      </c>
      <c r="F448" s="170">
        <f>F4+F16+F33+F38+F50+F62+F120+F151+F171+F175+F179+F326+F342+F388+F405+F430+F433</f>
        <v>12425389.62</v>
      </c>
      <c r="G448" s="415">
        <f t="shared" si="59"/>
        <v>0.9602584000061696</v>
      </c>
      <c r="H448" s="170">
        <f>H4+H16+H33+H38+H50+H62+H120+H151+H171+H175+H179+H326+H342+H388+H405+H430+H433</f>
        <v>10426086</v>
      </c>
      <c r="I448" s="170">
        <f>I4+I16+I33+I38+I50+I62+I120+I151+I171+I175+I179+I326+I342+I388+I405+I430+I433</f>
        <v>9956677.9</v>
      </c>
      <c r="J448" s="178">
        <f t="shared" si="60"/>
        <v>0.954977534234803</v>
      </c>
      <c r="K448" s="170">
        <f>K4+K16+K33+K38+K50+K62+K120+K151+K171+K175+K179+K326+K342+K388+K405+K430+K433</f>
        <v>2180301.27</v>
      </c>
      <c r="L448" s="170">
        <f>L4+L16+L33+L38+L50+L62+L120+L151+L171+L175+L179+L326+L342+L388+L405+L430+L433</f>
        <v>2159949.4899999998</v>
      </c>
      <c r="M448" s="435">
        <f>L448/K448</f>
        <v>0.990665611087774</v>
      </c>
      <c r="N448" s="170">
        <f>N4+N16+N33+N38+N50+N62+N120+N151+N171+N175+N179+N326+N342+N388+N405+N430+N433</f>
        <v>333244</v>
      </c>
      <c r="O448" s="170">
        <f>O4+O16+O33+O38+O50+O62+O120+O151+O171+O175+O179+O326+O342+O388+O405+O430+O433</f>
        <v>308762.23</v>
      </c>
      <c r="P448" s="179">
        <f>O448/N448</f>
        <v>0.9265350013803699</v>
      </c>
    </row>
    <row r="449" spans="5:15" ht="20.25">
      <c r="E449" s="123"/>
      <c r="F449" s="123"/>
      <c r="H449" s="123"/>
      <c r="I449" s="123"/>
      <c r="N449" s="123"/>
      <c r="O449" s="123"/>
    </row>
    <row r="450" spans="5:9" ht="20.25">
      <c r="E450" s="123" t="s">
        <v>95</v>
      </c>
      <c r="F450" s="123"/>
      <c r="H450" s="123" t="s">
        <v>94</v>
      </c>
      <c r="I450" s="123"/>
    </row>
    <row r="451" spans="5:9" ht="20.25">
      <c r="E451" s="123">
        <f>H451+K448</f>
        <v>12939631.27</v>
      </c>
      <c r="F451" s="123">
        <f>I451+L448</f>
        <v>12425389.620000001</v>
      </c>
      <c r="H451" s="123">
        <f>H448+N448</f>
        <v>10759330</v>
      </c>
      <c r="I451" s="123">
        <f>I448+O448</f>
        <v>10265440.13</v>
      </c>
    </row>
    <row r="456" spans="1:9" ht="20.25">
      <c r="A456" s="349"/>
      <c r="E456" s="322"/>
      <c r="F456" s="322"/>
      <c r="H456" s="322"/>
      <c r="I456" s="322"/>
    </row>
    <row r="457" spans="1:9" ht="20.25">
      <c r="A457" s="349"/>
      <c r="E457" s="322"/>
      <c r="F457" s="322"/>
      <c r="G457" s="322"/>
      <c r="H457" s="322"/>
      <c r="I457" s="322"/>
    </row>
    <row r="458" spans="1:9" ht="20.25">
      <c r="A458" s="349"/>
      <c r="E458" s="322"/>
      <c r="F458" s="322"/>
      <c r="H458" s="322"/>
      <c r="I458" s="322"/>
    </row>
    <row r="459" spans="1:9" ht="20.25">
      <c r="A459" s="349"/>
      <c r="E459" s="322"/>
      <c r="F459" s="322"/>
      <c r="H459" s="322"/>
      <c r="I459" s="322"/>
    </row>
    <row r="460" spans="1:9" ht="20.25">
      <c r="A460" s="349"/>
      <c r="E460" s="322"/>
      <c r="F460" s="322"/>
      <c r="H460" s="322"/>
      <c r="I460" s="322"/>
    </row>
    <row r="461" spans="1:9" ht="20.25">
      <c r="A461" s="349"/>
      <c r="E461" s="322"/>
      <c r="F461" s="322"/>
      <c r="H461" s="322"/>
      <c r="I461" s="322"/>
    </row>
    <row r="462" spans="1:9" ht="20.25">
      <c r="A462" s="349"/>
      <c r="E462" s="322"/>
      <c r="F462" s="322"/>
      <c r="H462" s="322"/>
      <c r="I462" s="322"/>
    </row>
    <row r="463" spans="1:9" ht="20.25">
      <c r="A463" s="349"/>
      <c r="E463" s="322"/>
      <c r="F463" s="322"/>
      <c r="H463" s="322"/>
      <c r="I463" s="322"/>
    </row>
    <row r="464" spans="1:9" ht="20.25">
      <c r="A464" s="349"/>
      <c r="E464" s="322"/>
      <c r="F464" s="322"/>
      <c r="H464" s="322"/>
      <c r="I464" s="322"/>
    </row>
    <row r="465" spans="1:9" ht="20.25">
      <c r="A465" s="349"/>
      <c r="E465" s="322"/>
      <c r="F465" s="322"/>
      <c r="H465" s="322"/>
      <c r="I465" s="322"/>
    </row>
    <row r="466" spans="1:9" ht="20.25">
      <c r="A466" s="349"/>
      <c r="E466" s="322"/>
      <c r="F466" s="322"/>
      <c r="H466" s="322"/>
      <c r="I466" s="322"/>
    </row>
    <row r="467" spans="1:9" ht="20.25">
      <c r="A467" s="350"/>
      <c r="E467" s="322"/>
      <c r="F467" s="322"/>
      <c r="H467" s="322"/>
      <c r="I467" s="322"/>
    </row>
    <row r="468" spans="1:9" ht="20.25">
      <c r="A468" s="350"/>
      <c r="E468" s="322"/>
      <c r="F468" s="322"/>
      <c r="H468" s="322"/>
      <c r="I468" s="322"/>
    </row>
    <row r="469" spans="1:9" ht="20.25">
      <c r="A469" s="350"/>
      <c r="E469" s="322"/>
      <c r="F469" s="322"/>
      <c r="H469" s="322"/>
      <c r="I469" s="322"/>
    </row>
    <row r="470" spans="1:9" ht="20.25">
      <c r="A470" s="350"/>
      <c r="E470" s="322"/>
      <c r="F470" s="322"/>
      <c r="H470" s="322"/>
      <c r="I470" s="322"/>
    </row>
    <row r="471" spans="1:9" ht="20.25">
      <c r="A471" s="350"/>
      <c r="E471" s="322"/>
      <c r="F471" s="322"/>
      <c r="H471" s="322"/>
      <c r="I471" s="322"/>
    </row>
    <row r="472" spans="1:9" ht="20.25">
      <c r="A472" s="349"/>
      <c r="D472" s="322"/>
      <c r="E472" s="322"/>
      <c r="F472" s="322"/>
      <c r="H472" s="322"/>
      <c r="I472" s="322"/>
    </row>
    <row r="473" spans="1:9" ht="20.25">
      <c r="A473" s="350"/>
      <c r="D473" s="351"/>
      <c r="E473" s="322"/>
      <c r="F473" s="322"/>
      <c r="H473" s="322"/>
      <c r="I473" s="322"/>
    </row>
    <row r="474" ht="20.25">
      <c r="A474" s="350"/>
    </row>
    <row r="475" ht="20.25">
      <c r="A475" s="350"/>
    </row>
    <row r="476" ht="20.25">
      <c r="A476" s="350"/>
    </row>
    <row r="477" ht="20.25">
      <c r="A477" s="350"/>
    </row>
    <row r="478" ht="20.25">
      <c r="A478" s="350"/>
    </row>
    <row r="479" ht="20.25">
      <c r="A479" s="350"/>
    </row>
    <row r="480" ht="20.25">
      <c r="A480" s="350"/>
    </row>
    <row r="481" ht="20.25">
      <c r="A481" s="350"/>
    </row>
    <row r="482" ht="20.25">
      <c r="A482" s="350"/>
    </row>
    <row r="483" ht="20.25">
      <c r="A483" s="350"/>
    </row>
    <row r="484" ht="20.25">
      <c r="A484" s="350"/>
    </row>
    <row r="485" ht="20.25">
      <c r="A485" s="350"/>
    </row>
    <row r="486" ht="20.25">
      <c r="A486" s="350"/>
    </row>
    <row r="487" ht="20.25">
      <c r="A487" s="350"/>
    </row>
    <row r="488" ht="20.25">
      <c r="A488" s="350"/>
    </row>
    <row r="489" ht="20.25">
      <c r="A489" s="350"/>
    </row>
    <row r="490" ht="20.25">
      <c r="A490" s="350"/>
    </row>
    <row r="491" ht="20.25">
      <c r="A491" s="350"/>
    </row>
    <row r="492" ht="20.25">
      <c r="A492" s="350"/>
    </row>
    <row r="493" ht="20.25">
      <c r="A493" s="350"/>
    </row>
    <row r="494" ht="20.25">
      <c r="A494" s="350"/>
    </row>
    <row r="495" ht="20.25">
      <c r="A495" s="350"/>
    </row>
    <row r="496" ht="20.25">
      <c r="A496" s="350"/>
    </row>
    <row r="497" ht="20.25">
      <c r="A497" s="350"/>
    </row>
  </sheetData>
  <sheetProtection/>
  <mergeCells count="14">
    <mergeCell ref="A1:A2"/>
    <mergeCell ref="B1:B2"/>
    <mergeCell ref="C1:C2"/>
    <mergeCell ref="D1:D2"/>
    <mergeCell ref="E1:G1"/>
    <mergeCell ref="H1:J1"/>
    <mergeCell ref="K1:M1"/>
    <mergeCell ref="N1:P1"/>
    <mergeCell ref="Y3:Z3"/>
    <mergeCell ref="AA3:AB3"/>
    <mergeCell ref="S3:S4"/>
    <mergeCell ref="T3:T4"/>
    <mergeCell ref="U3:V3"/>
    <mergeCell ref="W3:X3"/>
  </mergeCells>
  <printOptions/>
  <pageMargins left="0.7480314960629921" right="0.35433070866141736" top="0.7480314960629921" bottom="0.5511811023622047" header="0.5118110236220472" footer="0.31496062992125984"/>
  <pageSetup fitToHeight="0" fitToWidth="1" horizontalDpi="600" verticalDpi="600" orientation="landscape" paperSize="9" scale="48" r:id="rId1"/>
  <headerFooter alignWithMargins="0">
    <oddHeader>&amp;C&amp;"Times New Roman,Normalny"&amp;16Plan i wykonanie wydatków budżetu Gminy Golczewo za 2006 r. wg klasyfikacji budżetowej (w zł)&amp;R&amp;"Times New Roman,Normalny"&amp;16Załącznik nr 2&amp;10
</oddHeader>
    <oddFooter>&amp;C&amp;14Strona &amp;P</oddFooter>
  </headerFooter>
  <rowBreaks count="10" manualBreakCount="10">
    <brk id="42" min="3" max="15" man="1"/>
    <brk id="83" min="3" max="15" man="1"/>
    <brk id="125" min="3" max="15" man="1"/>
    <brk id="160" max="15" man="1"/>
    <brk id="200" min="3" max="15" man="1"/>
    <brk id="243" max="15" man="1"/>
    <brk id="284" max="15" man="1"/>
    <brk id="327" max="15" man="1"/>
    <brk id="367" max="15" man="1"/>
    <brk id="412" max="15" man="1"/>
  </rowBreaks>
  <colBreaks count="1" manualBreakCount="1">
    <brk id="2" max="3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Golczewo</dc:creator>
  <cp:keywords/>
  <dc:description/>
  <cp:lastModifiedBy>Basia</cp:lastModifiedBy>
  <cp:lastPrinted>2008-03-20T07:57:35Z</cp:lastPrinted>
  <dcterms:created xsi:type="dcterms:W3CDTF">2002-11-05T09:24:50Z</dcterms:created>
  <dcterms:modified xsi:type="dcterms:W3CDTF">2008-05-07T12:24:45Z</dcterms:modified>
  <cp:category/>
  <cp:version/>
  <cp:contentType/>
  <cp:contentStatus/>
</cp:coreProperties>
</file>